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Sheet1!$C$1:$C$327</definedName>
    <definedName name="_xlnm.Print_Area" localSheetId="0">Sheet1!$A$1:$EX$317</definedName>
    <definedName name="_xlnm.Print_Titles" localSheetId="0">Sheet1!$2:$4</definedName>
  </definedNames>
  <calcPr calcId="162913"/>
</workbook>
</file>

<file path=xl/calcChain.xml><?xml version="1.0" encoding="utf-8"?>
<calcChain xmlns="http://schemas.openxmlformats.org/spreadsheetml/2006/main">
  <c r="AJ326" i="1" l="1"/>
  <c r="AJ323" i="1"/>
  <c r="AJ324" i="1" s="1"/>
  <c r="CQ319" i="1"/>
  <c r="ES317" i="1"/>
  <c r="ES319" i="1" s="1"/>
  <c r="DU317" i="1"/>
  <c r="CB315" i="1"/>
  <c r="CM312" i="1"/>
  <c r="CL312" i="1"/>
  <c r="EL309" i="1"/>
  <c r="EK309" i="1"/>
  <c r="DT309" i="1"/>
  <c r="DS309" i="1"/>
  <c r="DH309" i="1"/>
  <c r="DG309" i="1"/>
  <c r="CX309" i="1"/>
  <c r="DB309" i="1" s="1"/>
  <c r="CW309" i="1"/>
  <c r="DA309" i="1" s="1"/>
  <c r="CR309" i="1"/>
  <c r="CT309" i="1" s="1"/>
  <c r="CQ309" i="1"/>
  <c r="CS309" i="1" s="1"/>
  <c r="CH309" i="1"/>
  <c r="CG309" i="1"/>
  <c r="BT309" i="1"/>
  <c r="BS309" i="1"/>
  <c r="BG309" i="1"/>
  <c r="BF309" i="1"/>
  <c r="AV309" i="1"/>
  <c r="AU309" i="1"/>
  <c r="AN309" i="1"/>
  <c r="AM309" i="1"/>
  <c r="AJ309" i="1"/>
  <c r="AI309" i="1"/>
  <c r="AH309" i="1"/>
  <c r="AG309" i="1"/>
  <c r="AF309" i="1"/>
  <c r="AB309" i="1"/>
  <c r="AC309" i="1" s="1"/>
  <c r="X309" i="1"/>
  <c r="W309" i="1"/>
  <c r="Y309" i="1" s="1"/>
  <c r="FB308" i="1"/>
  <c r="FA308" i="1"/>
  <c r="EZ308" i="1"/>
  <c r="EY308" i="1"/>
  <c r="EX308" i="1"/>
  <c r="EW308" i="1"/>
  <c r="ET308" i="1"/>
  <c r="ES308" i="1"/>
  <c r="ER308" i="1"/>
  <c r="EQ308" i="1"/>
  <c r="EP308" i="1"/>
  <c r="EO308" i="1"/>
  <c r="EF308" i="1"/>
  <c r="EE308" i="1"/>
  <c r="EB308" i="1"/>
  <c r="EA308" i="1"/>
  <c r="DX308" i="1"/>
  <c r="DW308" i="1"/>
  <c r="DP308" i="1"/>
  <c r="DL308" i="1"/>
  <c r="DK308" i="1"/>
  <c r="DD308" i="1"/>
  <c r="DC308" i="1"/>
  <c r="CZ308" i="1"/>
  <c r="CY308" i="1"/>
  <c r="CO308" i="1"/>
  <c r="CN308" i="1"/>
  <c r="CM308" i="1"/>
  <c r="CL308" i="1"/>
  <c r="CJ308" i="1"/>
  <c r="CI308" i="1"/>
  <c r="CF308" i="1"/>
  <c r="CE308" i="1"/>
  <c r="CD308" i="1"/>
  <c r="CC308" i="1"/>
  <c r="CB308" i="1"/>
  <c r="CA308" i="1"/>
  <c r="BZ308" i="1"/>
  <c r="BY308" i="1"/>
  <c r="BX308" i="1"/>
  <c r="BP308" i="1"/>
  <c r="BO308" i="1"/>
  <c r="BK308" i="1"/>
  <c r="BJ308" i="1"/>
  <c r="BI308" i="1"/>
  <c r="BH308" i="1"/>
  <c r="BC308" i="1"/>
  <c r="BB308" i="1"/>
  <c r="AX308" i="1"/>
  <c r="AW308" i="1"/>
  <c r="AT308" i="1"/>
  <c r="AS308" i="1"/>
  <c r="AP308" i="1"/>
  <c r="AO308" i="1"/>
  <c r="AL308" i="1"/>
  <c r="AK308" i="1"/>
  <c r="AA308" i="1"/>
  <c r="Z308" i="1"/>
  <c r="U308" i="1"/>
  <c r="T308" i="1"/>
  <c r="S308" i="1"/>
  <c r="P308" i="1"/>
  <c r="O308" i="1"/>
  <c r="N308" i="1"/>
  <c r="L308" i="1"/>
  <c r="K308" i="1"/>
  <c r="J308" i="1"/>
  <c r="I308" i="1"/>
  <c r="I310" i="1" s="1"/>
  <c r="H308" i="1"/>
  <c r="H310" i="1" s="1"/>
  <c r="G308" i="1"/>
  <c r="G310" i="1" s="1"/>
  <c r="F308" i="1"/>
  <c r="F310" i="1" s="1"/>
  <c r="EL307" i="1"/>
  <c r="EK307" i="1"/>
  <c r="DT307" i="1"/>
  <c r="DS307" i="1"/>
  <c r="DH307" i="1"/>
  <c r="DG307" i="1"/>
  <c r="CX307" i="1"/>
  <c r="DB307" i="1" s="1"/>
  <c r="CW307" i="1"/>
  <c r="DA307" i="1" s="1"/>
  <c r="CR307" i="1"/>
  <c r="CQ307" i="1"/>
  <c r="CS307" i="1" s="1"/>
  <c r="CH307" i="1"/>
  <c r="CG307" i="1"/>
  <c r="BT307" i="1"/>
  <c r="BS307" i="1"/>
  <c r="BG307" i="1"/>
  <c r="BF307" i="1"/>
  <c r="AV307" i="1"/>
  <c r="AU307" i="1"/>
  <c r="AN307" i="1"/>
  <c r="AM307" i="1"/>
  <c r="AJ307" i="1"/>
  <c r="AI307" i="1"/>
  <c r="AH307" i="1"/>
  <c r="AG307" i="1"/>
  <c r="AF307" i="1"/>
  <c r="AB307" i="1"/>
  <c r="AC307" i="1" s="1"/>
  <c r="X307" i="1"/>
  <c r="W307" i="1"/>
  <c r="Y307" i="1" s="1"/>
  <c r="EL306" i="1"/>
  <c r="EK306" i="1"/>
  <c r="DT306" i="1"/>
  <c r="DS306" i="1"/>
  <c r="DH306" i="1"/>
  <c r="DG306" i="1"/>
  <c r="CX306" i="1"/>
  <c r="DB306" i="1" s="1"/>
  <c r="DF306" i="1" s="1"/>
  <c r="CW306" i="1"/>
  <c r="DA306" i="1" s="1"/>
  <c r="DE306" i="1" s="1"/>
  <c r="CR306" i="1"/>
  <c r="CT306" i="1" s="1"/>
  <c r="CQ306" i="1"/>
  <c r="CS306" i="1" s="1"/>
  <c r="CH306" i="1"/>
  <c r="CG306" i="1"/>
  <c r="BT306" i="1"/>
  <c r="BS306" i="1"/>
  <c r="BG306" i="1"/>
  <c r="BF306" i="1"/>
  <c r="AV306" i="1"/>
  <c r="AU306" i="1"/>
  <c r="AN306" i="1"/>
  <c r="AM306" i="1"/>
  <c r="AQ306" i="1" s="1"/>
  <c r="AJ306" i="1"/>
  <c r="AI306" i="1"/>
  <c r="AH306" i="1"/>
  <c r="AG306" i="1"/>
  <c r="AF306" i="1"/>
  <c r="AB306" i="1"/>
  <c r="AC306" i="1" s="1"/>
  <c r="X306" i="1"/>
  <c r="W306" i="1"/>
  <c r="Y306" i="1" s="1"/>
  <c r="EL305" i="1"/>
  <c r="EK305" i="1"/>
  <c r="DT305" i="1"/>
  <c r="DS305" i="1"/>
  <c r="DH305" i="1"/>
  <c r="DG305" i="1"/>
  <c r="CX305" i="1"/>
  <c r="DB305" i="1" s="1"/>
  <c r="DF305" i="1" s="1"/>
  <c r="CW305" i="1"/>
  <c r="DA305" i="1" s="1"/>
  <c r="DE305" i="1" s="1"/>
  <c r="CR305" i="1"/>
  <c r="CT305" i="1" s="1"/>
  <c r="CQ305" i="1"/>
  <c r="CS305" i="1" s="1"/>
  <c r="CH305" i="1"/>
  <c r="CG305" i="1"/>
  <c r="BT305" i="1"/>
  <c r="BS305" i="1"/>
  <c r="BG305" i="1"/>
  <c r="BF305" i="1"/>
  <c r="AV305" i="1"/>
  <c r="AU305" i="1"/>
  <c r="AN305" i="1"/>
  <c r="AM305" i="1"/>
  <c r="AJ305" i="1"/>
  <c r="AI305" i="1"/>
  <c r="AH305" i="1"/>
  <c r="AG305" i="1"/>
  <c r="AF305" i="1"/>
  <c r="AB305" i="1"/>
  <c r="AC305" i="1" s="1"/>
  <c r="X305" i="1"/>
  <c r="W305" i="1"/>
  <c r="Y305" i="1" s="1"/>
  <c r="EL304" i="1"/>
  <c r="EK304" i="1"/>
  <c r="DT304" i="1"/>
  <c r="DS304" i="1"/>
  <c r="DH304" i="1"/>
  <c r="DG304" i="1"/>
  <c r="CX304" i="1"/>
  <c r="DB304" i="1" s="1"/>
  <c r="DF304" i="1" s="1"/>
  <c r="CW304" i="1"/>
  <c r="DA304" i="1" s="1"/>
  <c r="DE304" i="1" s="1"/>
  <c r="CR304" i="1"/>
  <c r="CT304" i="1" s="1"/>
  <c r="CQ304" i="1"/>
  <c r="CS304" i="1" s="1"/>
  <c r="CH304" i="1"/>
  <c r="CG304" i="1"/>
  <c r="BT304" i="1"/>
  <c r="BS304" i="1"/>
  <c r="BG304" i="1"/>
  <c r="BF304" i="1"/>
  <c r="AV304" i="1"/>
  <c r="AU304" i="1"/>
  <c r="AN304" i="1"/>
  <c r="AM304" i="1"/>
  <c r="AQ304" i="1" s="1"/>
  <c r="AJ304" i="1"/>
  <c r="AI304" i="1"/>
  <c r="AH304" i="1"/>
  <c r="AG304" i="1"/>
  <c r="AF304" i="1"/>
  <c r="AB304" i="1"/>
  <c r="AC304" i="1" s="1"/>
  <c r="X304" i="1"/>
  <c r="W304" i="1"/>
  <c r="Y304" i="1" s="1"/>
  <c r="EL303" i="1"/>
  <c r="EK303" i="1"/>
  <c r="DT303" i="1"/>
  <c r="DS303" i="1"/>
  <c r="DH303" i="1"/>
  <c r="DG303" i="1"/>
  <c r="CX303" i="1"/>
  <c r="DB303" i="1" s="1"/>
  <c r="DF303" i="1" s="1"/>
  <c r="CW303" i="1"/>
  <c r="DA303" i="1" s="1"/>
  <c r="DE303" i="1" s="1"/>
  <c r="CR303" i="1"/>
  <c r="CT303" i="1" s="1"/>
  <c r="CQ303" i="1"/>
  <c r="CS303" i="1" s="1"/>
  <c r="CH303" i="1"/>
  <c r="CG303" i="1"/>
  <c r="BT303" i="1"/>
  <c r="BS303" i="1"/>
  <c r="BG303" i="1"/>
  <c r="BF303" i="1"/>
  <c r="AV303" i="1"/>
  <c r="AU303" i="1"/>
  <c r="AN303" i="1"/>
  <c r="AM303" i="1"/>
  <c r="AJ303" i="1"/>
  <c r="AI303" i="1"/>
  <c r="AH303" i="1"/>
  <c r="AG303" i="1"/>
  <c r="AF303" i="1"/>
  <c r="AB303" i="1"/>
  <c r="AC303" i="1" s="1"/>
  <c r="X303" i="1"/>
  <c r="W303" i="1"/>
  <c r="Y303" i="1" s="1"/>
  <c r="EL302" i="1"/>
  <c r="EK302" i="1"/>
  <c r="DT302" i="1"/>
  <c r="DS302" i="1"/>
  <c r="DH302" i="1"/>
  <c r="DG302" i="1"/>
  <c r="CX302" i="1"/>
  <c r="DB302" i="1" s="1"/>
  <c r="DF302" i="1" s="1"/>
  <c r="CW302" i="1"/>
  <c r="CR302" i="1"/>
  <c r="CT302" i="1" s="1"/>
  <c r="CK302" i="1"/>
  <c r="CH302" i="1"/>
  <c r="CG302" i="1"/>
  <c r="BT302" i="1"/>
  <c r="BS302" i="1"/>
  <c r="BG302" i="1"/>
  <c r="BF302" i="1"/>
  <c r="AF302" i="1"/>
  <c r="AB302" i="1"/>
  <c r="W302" i="1"/>
  <c r="Y302" i="1" s="1"/>
  <c r="AE302" i="1" s="1"/>
  <c r="V302" i="1"/>
  <c r="Q302" i="1"/>
  <c r="M302" i="1"/>
  <c r="EL301" i="1"/>
  <c r="EK301" i="1"/>
  <c r="DT301" i="1"/>
  <c r="DS301" i="1"/>
  <c r="DH301" i="1"/>
  <c r="DG301" i="1"/>
  <c r="CX301" i="1"/>
  <c r="DB301" i="1" s="1"/>
  <c r="DF301" i="1" s="1"/>
  <c r="CW301" i="1"/>
  <c r="CR301" i="1"/>
  <c r="CT301" i="1" s="1"/>
  <c r="CK301" i="1"/>
  <c r="CQ301" i="1" s="1"/>
  <c r="CS301" i="1" s="1"/>
  <c r="CH301" i="1"/>
  <c r="CG301" i="1"/>
  <c r="BT301" i="1"/>
  <c r="BS301" i="1"/>
  <c r="BG301" i="1"/>
  <c r="BF301" i="1"/>
  <c r="AF301" i="1"/>
  <c r="AB301" i="1"/>
  <c r="W301" i="1"/>
  <c r="Y301" i="1" s="1"/>
  <c r="AE301" i="1" s="1"/>
  <c r="V301" i="1"/>
  <c r="Q301" i="1"/>
  <c r="M301" i="1"/>
  <c r="EL300" i="1"/>
  <c r="EK300" i="1"/>
  <c r="DT300" i="1"/>
  <c r="DS300" i="1"/>
  <c r="DG300" i="1"/>
  <c r="CW300" i="1"/>
  <c r="CV300" i="1"/>
  <c r="CR300" i="1"/>
  <c r="CT300" i="1" s="1"/>
  <c r="CK300" i="1"/>
  <c r="CH300" i="1"/>
  <c r="CG300" i="1"/>
  <c r="BT300" i="1"/>
  <c r="BS300" i="1"/>
  <c r="BG300" i="1"/>
  <c r="BF300" i="1"/>
  <c r="AF300" i="1"/>
  <c r="AB300" i="1"/>
  <c r="W300" i="1"/>
  <c r="Y300" i="1" s="1"/>
  <c r="AE300" i="1" s="1"/>
  <c r="V300" i="1"/>
  <c r="Q300" i="1"/>
  <c r="M300" i="1"/>
  <c r="EL299" i="1"/>
  <c r="EK299" i="1"/>
  <c r="DT299" i="1"/>
  <c r="DS299" i="1"/>
  <c r="DH299" i="1"/>
  <c r="CX299" i="1"/>
  <c r="DB299" i="1" s="1"/>
  <c r="DF299" i="1" s="1"/>
  <c r="CR299" i="1"/>
  <c r="CT299" i="1" s="1"/>
  <c r="CK299" i="1"/>
  <c r="CQ299" i="1" s="1"/>
  <c r="CS299" i="1" s="1"/>
  <c r="CH299" i="1"/>
  <c r="CG299" i="1"/>
  <c r="BW299" i="1"/>
  <c r="BT299" i="1"/>
  <c r="BS299" i="1"/>
  <c r="BG299" i="1"/>
  <c r="BF299" i="1"/>
  <c r="AF299" i="1"/>
  <c r="AB299" i="1"/>
  <c r="W299" i="1"/>
  <c r="Y299" i="1" s="1"/>
  <c r="AE299" i="1" s="1"/>
  <c r="AH299" i="1" s="1"/>
  <c r="V299" i="1"/>
  <c r="Q299" i="1"/>
  <c r="M299" i="1"/>
  <c r="EL298" i="1"/>
  <c r="EK298" i="1"/>
  <c r="DT298" i="1"/>
  <c r="DS298" i="1"/>
  <c r="CR298" i="1"/>
  <c r="CT298" i="1" s="1"/>
  <c r="CK298" i="1"/>
  <c r="CQ298" i="1" s="1"/>
  <c r="CS298" i="1" s="1"/>
  <c r="CH298" i="1"/>
  <c r="CG298" i="1"/>
  <c r="BW298" i="1"/>
  <c r="BT298" i="1"/>
  <c r="BS298" i="1"/>
  <c r="BG298" i="1"/>
  <c r="BF298" i="1"/>
  <c r="AF298" i="1"/>
  <c r="AB298" i="1"/>
  <c r="W298" i="1"/>
  <c r="Y298" i="1" s="1"/>
  <c r="AE298" i="1" s="1"/>
  <c r="AH298" i="1" s="1"/>
  <c r="V298" i="1"/>
  <c r="Q298" i="1"/>
  <c r="M298" i="1"/>
  <c r="EL297" i="1"/>
  <c r="EK297" i="1"/>
  <c r="DT297" i="1"/>
  <c r="DS297" i="1"/>
  <c r="CR297" i="1"/>
  <c r="CP297" i="1"/>
  <c r="CK297" i="1"/>
  <c r="CQ297" i="1" s="1"/>
  <c r="CH297" i="1"/>
  <c r="CG297" i="1"/>
  <c r="BW297" i="1"/>
  <c r="BT297" i="1"/>
  <c r="BS297" i="1"/>
  <c r="BG297" i="1"/>
  <c r="BF297" i="1"/>
  <c r="AF297" i="1"/>
  <c r="AB297" i="1"/>
  <c r="W297" i="1"/>
  <c r="Y297" i="1" s="1"/>
  <c r="AE297" i="1" s="1"/>
  <c r="AJ297" i="1" s="1"/>
  <c r="V297" i="1"/>
  <c r="Q297" i="1"/>
  <c r="M297" i="1"/>
  <c r="EL296" i="1"/>
  <c r="EK296" i="1"/>
  <c r="DT296" i="1"/>
  <c r="DO296" i="1"/>
  <c r="CR296" i="1"/>
  <c r="CT296" i="1" s="1"/>
  <c r="CK296" i="1"/>
  <c r="CQ296" i="1" s="1"/>
  <c r="CS296" i="1" s="1"/>
  <c r="CH296" i="1"/>
  <c r="CG296" i="1"/>
  <c r="BT296" i="1"/>
  <c r="BS296" i="1"/>
  <c r="BG296" i="1"/>
  <c r="BF296" i="1"/>
  <c r="AF296" i="1"/>
  <c r="AB296" i="1"/>
  <c r="W296" i="1"/>
  <c r="Y296" i="1" s="1"/>
  <c r="AE296" i="1" s="1"/>
  <c r="V296" i="1"/>
  <c r="Q296" i="1"/>
  <c r="R296" i="1" s="1"/>
  <c r="M296" i="1"/>
  <c r="EL295" i="1"/>
  <c r="EK295" i="1"/>
  <c r="DT295" i="1"/>
  <c r="DS295" i="1"/>
  <c r="CR295" i="1"/>
  <c r="CT295" i="1" s="1"/>
  <c r="CQ295" i="1"/>
  <c r="CK295" i="1"/>
  <c r="CH295" i="1"/>
  <c r="CG295" i="1"/>
  <c r="BT295" i="1"/>
  <c r="BS295" i="1"/>
  <c r="BG295" i="1"/>
  <c r="BF295" i="1"/>
  <c r="AF295" i="1"/>
  <c r="AB295" i="1"/>
  <c r="W295" i="1"/>
  <c r="Y295" i="1" s="1"/>
  <c r="AE295" i="1" s="1"/>
  <c r="AJ295" i="1" s="1"/>
  <c r="V295" i="1"/>
  <c r="Q295" i="1"/>
  <c r="M295" i="1"/>
  <c r="EL294" i="1"/>
  <c r="EK294" i="1"/>
  <c r="DT294" i="1"/>
  <c r="DO294" i="1"/>
  <c r="DS294" i="1" s="1"/>
  <c r="CR294" i="1"/>
  <c r="CT294" i="1" s="1"/>
  <c r="CK294" i="1"/>
  <c r="CQ294" i="1" s="1"/>
  <c r="CH294" i="1"/>
  <c r="CG294" i="1"/>
  <c r="BT294" i="1"/>
  <c r="BS294" i="1"/>
  <c r="BG294" i="1"/>
  <c r="BF294" i="1"/>
  <c r="AF294" i="1"/>
  <c r="AB294" i="1"/>
  <c r="W294" i="1"/>
  <c r="Y294" i="1" s="1"/>
  <c r="AE294" i="1" s="1"/>
  <c r="V294" i="1"/>
  <c r="Q294" i="1"/>
  <c r="M294" i="1"/>
  <c r="EL293" i="1"/>
  <c r="EK293" i="1"/>
  <c r="DT293" i="1"/>
  <c r="DS293" i="1"/>
  <c r="DH293" i="1"/>
  <c r="DG293" i="1"/>
  <c r="CX293" i="1"/>
  <c r="DB293" i="1" s="1"/>
  <c r="DF293" i="1" s="1"/>
  <c r="CW293" i="1"/>
  <c r="DA293" i="1" s="1"/>
  <c r="DE293" i="1" s="1"/>
  <c r="DI293" i="1" s="1"/>
  <c r="DM293" i="1" s="1"/>
  <c r="DQ293" i="1" s="1"/>
  <c r="CR293" i="1"/>
  <c r="CT293" i="1" s="1"/>
  <c r="CK293" i="1"/>
  <c r="CQ293" i="1" s="1"/>
  <c r="CS293" i="1" s="1"/>
  <c r="CH293" i="1"/>
  <c r="CG293" i="1"/>
  <c r="BW293" i="1"/>
  <c r="BT293" i="1"/>
  <c r="BS293" i="1"/>
  <c r="BG293" i="1"/>
  <c r="BF293" i="1"/>
  <c r="AF293" i="1"/>
  <c r="AB293" i="1"/>
  <c r="W293" i="1"/>
  <c r="Y293" i="1" s="1"/>
  <c r="AE293" i="1" s="1"/>
  <c r="V293" i="1"/>
  <c r="Q293" i="1"/>
  <c r="M293" i="1"/>
  <c r="EL292" i="1"/>
  <c r="EK292" i="1"/>
  <c r="DT292" i="1"/>
  <c r="DO292" i="1"/>
  <c r="DS292" i="1" s="1"/>
  <c r="CT292" i="1"/>
  <c r="CR292" i="1"/>
  <c r="CK292" i="1"/>
  <c r="CQ292" i="1" s="1"/>
  <c r="CH292" i="1"/>
  <c r="CG292" i="1"/>
  <c r="BT292" i="1"/>
  <c r="BS292" i="1"/>
  <c r="BG292" i="1"/>
  <c r="BF292" i="1"/>
  <c r="AF292" i="1"/>
  <c r="AB292" i="1"/>
  <c r="W292" i="1"/>
  <c r="Y292" i="1" s="1"/>
  <c r="AE292" i="1" s="1"/>
  <c r="V292" i="1"/>
  <c r="Q292" i="1"/>
  <c r="M292" i="1"/>
  <c r="EL291" i="1"/>
  <c r="EK291" i="1"/>
  <c r="DT291" i="1"/>
  <c r="DS291" i="1"/>
  <c r="CR291" i="1"/>
  <c r="CQ291" i="1"/>
  <c r="CS291" i="1" s="1"/>
  <c r="CH291" i="1"/>
  <c r="CG291" i="1"/>
  <c r="BT291" i="1"/>
  <c r="BS291" i="1"/>
  <c r="BG291" i="1"/>
  <c r="BF291" i="1"/>
  <c r="AF291" i="1"/>
  <c r="AB291" i="1"/>
  <c r="W291" i="1"/>
  <c r="Y291" i="1" s="1"/>
  <c r="AE291" i="1" s="1"/>
  <c r="V291" i="1"/>
  <c r="Q291" i="1"/>
  <c r="R291" i="1" s="1"/>
  <c r="X291" i="1" s="1"/>
  <c r="AD291" i="1" s="1"/>
  <c r="M291" i="1"/>
  <c r="FD290" i="1"/>
  <c r="FC290" i="1"/>
  <c r="FB290" i="1"/>
  <c r="FA290" i="1"/>
  <c r="EZ290" i="1"/>
  <c r="EY290" i="1"/>
  <c r="EX290" i="1"/>
  <c r="EW290" i="1"/>
  <c r="ET290" i="1"/>
  <c r="ES290" i="1"/>
  <c r="ER290" i="1"/>
  <c r="EQ290" i="1"/>
  <c r="EP290" i="1"/>
  <c r="EO290" i="1"/>
  <c r="EF290" i="1"/>
  <c r="EE290" i="1"/>
  <c r="EB290" i="1"/>
  <c r="EA290" i="1"/>
  <c r="DY290" i="1"/>
  <c r="DX290" i="1"/>
  <c r="DW290" i="1"/>
  <c r="DP290" i="1"/>
  <c r="DO290" i="1"/>
  <c r="DL290" i="1"/>
  <c r="DK290" i="1"/>
  <c r="DD290" i="1"/>
  <c r="DC290" i="1"/>
  <c r="CZ290" i="1"/>
  <c r="CY290" i="1"/>
  <c r="CV290" i="1"/>
  <c r="CU290" i="1"/>
  <c r="CS290" i="1"/>
  <c r="CP290" i="1"/>
  <c r="CO290" i="1"/>
  <c r="CN290" i="1"/>
  <c r="CM290" i="1"/>
  <c r="CL290" i="1"/>
  <c r="CK290" i="1"/>
  <c r="CJ290" i="1"/>
  <c r="CI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P290" i="1"/>
  <c r="BO290" i="1"/>
  <c r="BK290" i="1"/>
  <c r="BJ290" i="1"/>
  <c r="BI290" i="1"/>
  <c r="BH290" i="1"/>
  <c r="BC290" i="1"/>
  <c r="BB290" i="1"/>
  <c r="AX290" i="1"/>
  <c r="AW290" i="1"/>
  <c r="AT290" i="1"/>
  <c r="AS290" i="1"/>
  <c r="AP290" i="1"/>
  <c r="AO290" i="1"/>
  <c r="AL290" i="1"/>
  <c r="AK290" i="1"/>
  <c r="AA290" i="1"/>
  <c r="Z290" i="1"/>
  <c r="W290" i="1"/>
  <c r="U290" i="1"/>
  <c r="T290" i="1"/>
  <c r="S290" i="1"/>
  <c r="P290" i="1"/>
  <c r="O290" i="1"/>
  <c r="N290" i="1"/>
  <c r="L290" i="1"/>
  <c r="K290" i="1"/>
  <c r="J290" i="1"/>
  <c r="EL289" i="1"/>
  <c r="EL290" i="1" s="1"/>
  <c r="EK289" i="1"/>
  <c r="EK290" i="1" s="1"/>
  <c r="DT289" i="1"/>
  <c r="DT290" i="1" s="1"/>
  <c r="DS289" i="1"/>
  <c r="DS290" i="1" s="1"/>
  <c r="DH289" i="1"/>
  <c r="DH290" i="1" s="1"/>
  <c r="DG289" i="1"/>
  <c r="DG290" i="1" s="1"/>
  <c r="CX289" i="1"/>
  <c r="CX290" i="1" s="1"/>
  <c r="CW289" i="1"/>
  <c r="CR289" i="1"/>
  <c r="CR290" i="1" s="1"/>
  <c r="CQ289" i="1"/>
  <c r="CQ290" i="1" s="1"/>
  <c r="CH289" i="1"/>
  <c r="CH290" i="1" s="1"/>
  <c r="CG289" i="1"/>
  <c r="CG290" i="1" s="1"/>
  <c r="BT289" i="1"/>
  <c r="BT290" i="1" s="1"/>
  <c r="BS289" i="1"/>
  <c r="BS290" i="1" s="1"/>
  <c r="BG289" i="1"/>
  <c r="BG290" i="1" s="1"/>
  <c r="BF289" i="1"/>
  <c r="BF290" i="1" s="1"/>
  <c r="AF289" i="1"/>
  <c r="AF290" i="1" s="1"/>
  <c r="AB289" i="1"/>
  <c r="Y289" i="1"/>
  <c r="W289" i="1"/>
  <c r="V289" i="1"/>
  <c r="V290" i="1" s="1"/>
  <c r="Q289" i="1"/>
  <c r="M289" i="1"/>
  <c r="M290" i="1" s="1"/>
  <c r="ER288" i="1"/>
  <c r="EQ288" i="1"/>
  <c r="CL288" i="1"/>
  <c r="EL287" i="1"/>
  <c r="EK287" i="1"/>
  <c r="DT287" i="1"/>
  <c r="DS287" i="1"/>
  <c r="DH287" i="1"/>
  <c r="DG287" i="1"/>
  <c r="CX287" i="1"/>
  <c r="DB287" i="1" s="1"/>
  <c r="DF287" i="1" s="1"/>
  <c r="CW287" i="1"/>
  <c r="DA287" i="1" s="1"/>
  <c r="DE287" i="1" s="1"/>
  <c r="DI287" i="1" s="1"/>
  <c r="DM287" i="1" s="1"/>
  <c r="DQ287" i="1" s="1"/>
  <c r="CR287" i="1"/>
  <c r="CT287" i="1" s="1"/>
  <c r="CQ287" i="1"/>
  <c r="CS287" i="1" s="1"/>
  <c r="CH287" i="1"/>
  <c r="CG287" i="1"/>
  <c r="BT287" i="1"/>
  <c r="BS287" i="1"/>
  <c r="BG287" i="1"/>
  <c r="BF287" i="1"/>
  <c r="AV287" i="1"/>
  <c r="AU287" i="1"/>
  <c r="AQ287" i="1"/>
  <c r="AN287" i="1"/>
  <c r="AM287" i="1"/>
  <c r="AJ287" i="1"/>
  <c r="AI287" i="1"/>
  <c r="AH287" i="1"/>
  <c r="AG287" i="1"/>
  <c r="AF287" i="1"/>
  <c r="AB287" i="1"/>
  <c r="AC287" i="1" s="1"/>
  <c r="W287" i="1"/>
  <c r="Y287" i="1" s="1"/>
  <c r="V287" i="1"/>
  <c r="Q287" i="1"/>
  <c r="R287" i="1" s="1"/>
  <c r="M287" i="1"/>
  <c r="FD286" i="1"/>
  <c r="FC286" i="1"/>
  <c r="FC288" i="1" s="1"/>
  <c r="FB286" i="1"/>
  <c r="FB288" i="1" s="1"/>
  <c r="FA286" i="1"/>
  <c r="FA288" i="1" s="1"/>
  <c r="EZ286" i="1"/>
  <c r="EZ288" i="1" s="1"/>
  <c r="EY286" i="1"/>
  <c r="EY288" i="1" s="1"/>
  <c r="EX286" i="1"/>
  <c r="EX288" i="1" s="1"/>
  <c r="EW286" i="1"/>
  <c r="EW288" i="1" s="1"/>
  <c r="ET286" i="1"/>
  <c r="ET288" i="1" s="1"/>
  <c r="ES286" i="1"/>
  <c r="ES288" i="1" s="1"/>
  <c r="EP286" i="1"/>
  <c r="EP288" i="1" s="1"/>
  <c r="EO286" i="1"/>
  <c r="EO288" i="1" s="1"/>
  <c r="EF286" i="1"/>
  <c r="EF288" i="1" s="1"/>
  <c r="EE286" i="1"/>
  <c r="EE288" i="1" s="1"/>
  <c r="EB286" i="1"/>
  <c r="EB288" i="1" s="1"/>
  <c r="EA286" i="1"/>
  <c r="EA288" i="1" s="1"/>
  <c r="DZ286" i="1"/>
  <c r="DX286" i="1"/>
  <c r="DX288" i="1" s="1"/>
  <c r="DW286" i="1"/>
  <c r="DW288" i="1" s="1"/>
  <c r="DP286" i="1"/>
  <c r="DP288" i="1" s="1"/>
  <c r="DO286" i="1"/>
  <c r="DO288" i="1" s="1"/>
  <c r="DL286" i="1"/>
  <c r="DL288" i="1" s="1"/>
  <c r="DK286" i="1"/>
  <c r="DK288" i="1" s="1"/>
  <c r="DJ286" i="1"/>
  <c r="DD286" i="1"/>
  <c r="DD288" i="1" s="1"/>
  <c r="DC286" i="1"/>
  <c r="DC288" i="1" s="1"/>
  <c r="CZ286" i="1"/>
  <c r="CZ288" i="1" s="1"/>
  <c r="CY286" i="1"/>
  <c r="CY288" i="1" s="1"/>
  <c r="CP286" i="1"/>
  <c r="CP288" i="1" s="1"/>
  <c r="CO286" i="1"/>
  <c r="CO288" i="1" s="1"/>
  <c r="CN286" i="1"/>
  <c r="CN288" i="1" s="1"/>
  <c r="CM286" i="1"/>
  <c r="CM288" i="1" s="1"/>
  <c r="CL286" i="1"/>
  <c r="CK286" i="1"/>
  <c r="CK288" i="1" s="1"/>
  <c r="CJ286" i="1"/>
  <c r="CJ288" i="1" s="1"/>
  <c r="CI286" i="1"/>
  <c r="CI288" i="1" s="1"/>
  <c r="CF286" i="1"/>
  <c r="CF288" i="1" s="1"/>
  <c r="CE286" i="1"/>
  <c r="CE288" i="1" s="1"/>
  <c r="CD286" i="1"/>
  <c r="CD288" i="1" s="1"/>
  <c r="CC286" i="1"/>
  <c r="CC288" i="1" s="1"/>
  <c r="CB286" i="1"/>
  <c r="CB288" i="1" s="1"/>
  <c r="CA286" i="1"/>
  <c r="CA288" i="1" s="1"/>
  <c r="BY286" i="1"/>
  <c r="BY288" i="1" s="1"/>
  <c r="BX286" i="1"/>
  <c r="BX288" i="1" s="1"/>
  <c r="BP286" i="1"/>
  <c r="BP288" i="1" s="1"/>
  <c r="BO286" i="1"/>
  <c r="BO288" i="1" s="1"/>
  <c r="BK286" i="1"/>
  <c r="BK288" i="1" s="1"/>
  <c r="BJ286" i="1"/>
  <c r="BJ288" i="1" s="1"/>
  <c r="BI286" i="1"/>
  <c r="BI288" i="1" s="1"/>
  <c r="BH286" i="1"/>
  <c r="BH288" i="1" s="1"/>
  <c r="BC286" i="1"/>
  <c r="BC288" i="1" s="1"/>
  <c r="BB286" i="1"/>
  <c r="BB288" i="1" s="1"/>
  <c r="AX286" i="1"/>
  <c r="AX288" i="1" s="1"/>
  <c r="AW286" i="1"/>
  <c r="AW288" i="1" s="1"/>
  <c r="AT286" i="1"/>
  <c r="AT288" i="1" s="1"/>
  <c r="AS286" i="1"/>
  <c r="AS288" i="1" s="1"/>
  <c r="AP286" i="1"/>
  <c r="AP288" i="1" s="1"/>
  <c r="AO286" i="1"/>
  <c r="AO288" i="1" s="1"/>
  <c r="AN286" i="1"/>
  <c r="AN288" i="1" s="1"/>
  <c r="AM286" i="1"/>
  <c r="AL286" i="1"/>
  <c r="AL288" i="1" s="1"/>
  <c r="AK286" i="1"/>
  <c r="AK288" i="1" s="1"/>
  <c r="AJ286" i="1"/>
  <c r="AI286" i="1"/>
  <c r="AH286" i="1"/>
  <c r="AG286" i="1"/>
  <c r="AE286" i="1"/>
  <c r="AE288" i="1" s="1"/>
  <c r="AD286" i="1"/>
  <c r="AD288" i="1" s="1"/>
  <c r="AA286" i="1"/>
  <c r="AA288" i="1" s="1"/>
  <c r="Z286" i="1"/>
  <c r="V286" i="1"/>
  <c r="U286" i="1"/>
  <c r="U288" i="1" s="1"/>
  <c r="T286" i="1"/>
  <c r="T288" i="1" s="1"/>
  <c r="S286" i="1"/>
  <c r="S288" i="1" s="1"/>
  <c r="P286" i="1"/>
  <c r="P288" i="1" s="1"/>
  <c r="O286" i="1"/>
  <c r="O288" i="1" s="1"/>
  <c r="N286" i="1"/>
  <c r="N288" i="1" s="1"/>
  <c r="L286" i="1"/>
  <c r="L288" i="1" s="1"/>
  <c r="K286" i="1"/>
  <c r="K288" i="1" s="1"/>
  <c r="J286" i="1"/>
  <c r="J288" i="1" s="1"/>
  <c r="EL285" i="1"/>
  <c r="EK285" i="1"/>
  <c r="DT285" i="1"/>
  <c r="DS285" i="1"/>
  <c r="DH285" i="1"/>
  <c r="DG285" i="1"/>
  <c r="CX285" i="1"/>
  <c r="DB285" i="1" s="1"/>
  <c r="DF285" i="1" s="1"/>
  <c r="CW285" i="1"/>
  <c r="DA285" i="1" s="1"/>
  <c r="DE285" i="1" s="1"/>
  <c r="CR285" i="1"/>
  <c r="CT285" i="1" s="1"/>
  <c r="CQ285" i="1"/>
  <c r="CS285" i="1" s="1"/>
  <c r="CH285" i="1"/>
  <c r="CG285" i="1"/>
  <c r="BT285" i="1"/>
  <c r="BS285" i="1"/>
  <c r="BG285" i="1"/>
  <c r="BF285" i="1"/>
  <c r="AV285" i="1"/>
  <c r="AU285" i="1"/>
  <c r="AN285" i="1"/>
  <c r="AM285" i="1"/>
  <c r="AQ285" i="1" s="1"/>
  <c r="AJ285" i="1"/>
  <c r="AI285" i="1"/>
  <c r="AH285" i="1"/>
  <c r="AG285" i="1"/>
  <c r="AF285" i="1"/>
  <c r="AB285" i="1"/>
  <c r="AC285" i="1" s="1"/>
  <c r="X285" i="1"/>
  <c r="W285" i="1"/>
  <c r="Y285" i="1" s="1"/>
  <c r="EL284" i="1"/>
  <c r="EK284" i="1"/>
  <c r="DT284" i="1"/>
  <c r="DS284" i="1"/>
  <c r="DH284" i="1"/>
  <c r="DG284" i="1"/>
  <c r="CX284" i="1"/>
  <c r="DB284" i="1" s="1"/>
  <c r="DF284" i="1" s="1"/>
  <c r="CW284" i="1"/>
  <c r="DA284" i="1" s="1"/>
  <c r="DE284" i="1" s="1"/>
  <c r="CR284" i="1"/>
  <c r="CT284" i="1" s="1"/>
  <c r="CQ284" i="1"/>
  <c r="CS284" i="1" s="1"/>
  <c r="CH284" i="1"/>
  <c r="CG284" i="1"/>
  <c r="BT284" i="1"/>
  <c r="BS284" i="1"/>
  <c r="BG284" i="1"/>
  <c r="BF284" i="1"/>
  <c r="AV284" i="1"/>
  <c r="AU284" i="1"/>
  <c r="AN284" i="1"/>
  <c r="AM284" i="1"/>
  <c r="AJ284" i="1"/>
  <c r="AI284" i="1"/>
  <c r="AH284" i="1"/>
  <c r="AG284" i="1"/>
  <c r="AF284" i="1"/>
  <c r="AB284" i="1"/>
  <c r="AC284" i="1" s="1"/>
  <c r="X284" i="1"/>
  <c r="W284" i="1"/>
  <c r="Y284" i="1" s="1"/>
  <c r="EL283" i="1"/>
  <c r="EK283" i="1"/>
  <c r="DT283" i="1"/>
  <c r="DS283" i="1"/>
  <c r="DH283" i="1"/>
  <c r="DG283" i="1"/>
  <c r="CX283" i="1"/>
  <c r="DB283" i="1" s="1"/>
  <c r="DF283" i="1" s="1"/>
  <c r="CW283" i="1"/>
  <c r="DA283" i="1" s="1"/>
  <c r="DE283" i="1" s="1"/>
  <c r="CT283" i="1"/>
  <c r="CS283" i="1"/>
  <c r="CR283" i="1"/>
  <c r="CQ283" i="1"/>
  <c r="CH283" i="1"/>
  <c r="CG283" i="1"/>
  <c r="BT283" i="1"/>
  <c r="BS283" i="1"/>
  <c r="BG283" i="1"/>
  <c r="BF283" i="1"/>
  <c r="AV283" i="1"/>
  <c r="AU283" i="1"/>
  <c r="AN283" i="1"/>
  <c r="AM283" i="1"/>
  <c r="AJ283" i="1"/>
  <c r="AI283" i="1"/>
  <c r="AH283" i="1"/>
  <c r="AG283" i="1"/>
  <c r="AF283" i="1"/>
  <c r="AB283" i="1"/>
  <c r="AC283" i="1" s="1"/>
  <c r="X283" i="1"/>
  <c r="W283" i="1"/>
  <c r="Y283" i="1" s="1"/>
  <c r="EL282" i="1"/>
  <c r="EK282" i="1"/>
  <c r="DT282" i="1"/>
  <c r="DS282" i="1"/>
  <c r="DH282" i="1"/>
  <c r="DG282" i="1"/>
  <c r="CX282" i="1"/>
  <c r="DB282" i="1" s="1"/>
  <c r="DF282" i="1" s="1"/>
  <c r="DJ282" i="1" s="1"/>
  <c r="DN282" i="1" s="1"/>
  <c r="DR282" i="1" s="1"/>
  <c r="CW282" i="1"/>
  <c r="DA282" i="1" s="1"/>
  <c r="DE282" i="1" s="1"/>
  <c r="CR282" i="1"/>
  <c r="CT282" i="1" s="1"/>
  <c r="CQ282" i="1"/>
  <c r="CS282" i="1" s="1"/>
  <c r="CH282" i="1"/>
  <c r="CG282" i="1"/>
  <c r="BT282" i="1"/>
  <c r="BS282" i="1"/>
  <c r="BG282" i="1"/>
  <c r="BF282" i="1"/>
  <c r="AV282" i="1"/>
  <c r="AU282" i="1"/>
  <c r="AN282" i="1"/>
  <c r="AM282" i="1"/>
  <c r="AJ282" i="1"/>
  <c r="AI282" i="1"/>
  <c r="AH282" i="1"/>
  <c r="AG282" i="1"/>
  <c r="AF282" i="1"/>
  <c r="AB282" i="1"/>
  <c r="AC282" i="1" s="1"/>
  <c r="X282" i="1"/>
  <c r="W282" i="1"/>
  <c r="Y282" i="1" s="1"/>
  <c r="EL281" i="1"/>
  <c r="EK281" i="1"/>
  <c r="DT281" i="1"/>
  <c r="DS281" i="1"/>
  <c r="DH281" i="1"/>
  <c r="DG281" i="1"/>
  <c r="CX281" i="1"/>
  <c r="DB281" i="1" s="1"/>
  <c r="DF281" i="1" s="1"/>
  <c r="CW281" i="1"/>
  <c r="DA281" i="1" s="1"/>
  <c r="DE281" i="1" s="1"/>
  <c r="CR281" i="1"/>
  <c r="CT281" i="1" s="1"/>
  <c r="CQ281" i="1"/>
  <c r="CS281" i="1" s="1"/>
  <c r="CH281" i="1"/>
  <c r="CG281" i="1"/>
  <c r="BT281" i="1"/>
  <c r="BS281" i="1"/>
  <c r="BG281" i="1"/>
  <c r="BF281" i="1"/>
  <c r="AV281" i="1"/>
  <c r="AU281" i="1"/>
  <c r="AN281" i="1"/>
  <c r="AM281" i="1"/>
  <c r="AQ281" i="1" s="1"/>
  <c r="AJ281" i="1"/>
  <c r="AI281" i="1"/>
  <c r="AH281" i="1"/>
  <c r="AG281" i="1"/>
  <c r="AF281" i="1"/>
  <c r="AB281" i="1"/>
  <c r="AC281" i="1" s="1"/>
  <c r="X281" i="1"/>
  <c r="W281" i="1"/>
  <c r="Y281" i="1" s="1"/>
  <c r="EL280" i="1"/>
  <c r="EK280" i="1"/>
  <c r="DT280" i="1"/>
  <c r="DS280" i="1"/>
  <c r="DH280" i="1"/>
  <c r="DG280" i="1"/>
  <c r="CX280" i="1"/>
  <c r="DB280" i="1" s="1"/>
  <c r="DF280" i="1" s="1"/>
  <c r="CW280" i="1"/>
  <c r="DA280" i="1" s="1"/>
  <c r="DE280" i="1" s="1"/>
  <c r="CR280" i="1"/>
  <c r="CT280" i="1" s="1"/>
  <c r="CQ280" i="1"/>
  <c r="CS280" i="1" s="1"/>
  <c r="CH280" i="1"/>
  <c r="CG280" i="1"/>
  <c r="BT280" i="1"/>
  <c r="BS280" i="1"/>
  <c r="BG280" i="1"/>
  <c r="BF280" i="1"/>
  <c r="AV280" i="1"/>
  <c r="AU280" i="1"/>
  <c r="AN280" i="1"/>
  <c r="AM280" i="1"/>
  <c r="AQ280" i="1" s="1"/>
  <c r="AJ280" i="1"/>
  <c r="AI280" i="1"/>
  <c r="AH280" i="1"/>
  <c r="AG280" i="1"/>
  <c r="AF280" i="1"/>
  <c r="AB280" i="1"/>
  <c r="AC280" i="1" s="1"/>
  <c r="X280" i="1"/>
  <c r="W280" i="1"/>
  <c r="Y280" i="1" s="1"/>
  <c r="EL279" i="1"/>
  <c r="EK279" i="1"/>
  <c r="DT279" i="1"/>
  <c r="DS279" i="1"/>
  <c r="DH279" i="1"/>
  <c r="DG279" i="1"/>
  <c r="CX279" i="1"/>
  <c r="DB279" i="1" s="1"/>
  <c r="DF279" i="1" s="1"/>
  <c r="DJ279" i="1" s="1"/>
  <c r="DN279" i="1" s="1"/>
  <c r="DR279" i="1" s="1"/>
  <c r="CW279" i="1"/>
  <c r="DA279" i="1" s="1"/>
  <c r="DE279" i="1" s="1"/>
  <c r="DI279" i="1" s="1"/>
  <c r="DM279" i="1" s="1"/>
  <c r="DQ279" i="1" s="1"/>
  <c r="CR279" i="1"/>
  <c r="CT279" i="1" s="1"/>
  <c r="CQ279" i="1"/>
  <c r="CS279" i="1" s="1"/>
  <c r="CH279" i="1"/>
  <c r="CG279" i="1"/>
  <c r="BT279" i="1"/>
  <c r="BS279" i="1"/>
  <c r="BG279" i="1"/>
  <c r="BF279" i="1"/>
  <c r="AV279" i="1"/>
  <c r="AU279" i="1"/>
  <c r="AN279" i="1"/>
  <c r="AR279" i="1" s="1"/>
  <c r="AM279" i="1"/>
  <c r="AJ279" i="1"/>
  <c r="AI279" i="1"/>
  <c r="AH279" i="1"/>
  <c r="AG279" i="1"/>
  <c r="AF279" i="1"/>
  <c r="AB279" i="1"/>
  <c r="AC279" i="1" s="1"/>
  <c r="X279" i="1"/>
  <c r="W279" i="1"/>
  <c r="Y279" i="1" s="1"/>
  <c r="EL278" i="1"/>
  <c r="EK278" i="1"/>
  <c r="DT278" i="1"/>
  <c r="DS278" i="1"/>
  <c r="DH278" i="1"/>
  <c r="DG278" i="1"/>
  <c r="DI278" i="1" s="1"/>
  <c r="DM278" i="1" s="1"/>
  <c r="DQ278" i="1" s="1"/>
  <c r="CX278" i="1"/>
  <c r="DB278" i="1" s="1"/>
  <c r="DF278" i="1" s="1"/>
  <c r="CW278" i="1"/>
  <c r="DA278" i="1" s="1"/>
  <c r="DE278" i="1" s="1"/>
  <c r="CR278" i="1"/>
  <c r="CT278" i="1" s="1"/>
  <c r="CQ278" i="1"/>
  <c r="CS278" i="1" s="1"/>
  <c r="CH278" i="1"/>
  <c r="CG278" i="1"/>
  <c r="BT278" i="1"/>
  <c r="BS278" i="1"/>
  <c r="BG278" i="1"/>
  <c r="BF278" i="1"/>
  <c r="AV278" i="1"/>
  <c r="AU278" i="1"/>
  <c r="AN278" i="1"/>
  <c r="AM278" i="1"/>
  <c r="AJ278" i="1"/>
  <c r="AI278" i="1"/>
  <c r="AH278" i="1"/>
  <c r="AG278" i="1"/>
  <c r="AF278" i="1"/>
  <c r="AB278" i="1"/>
  <c r="AC278" i="1" s="1"/>
  <c r="X278" i="1"/>
  <c r="W278" i="1"/>
  <c r="Y278" i="1" s="1"/>
  <c r="EL277" i="1"/>
  <c r="EK277" i="1"/>
  <c r="DT277" i="1"/>
  <c r="DS277" i="1"/>
  <c r="DH277" i="1"/>
  <c r="DG277" i="1"/>
  <c r="CX277" i="1"/>
  <c r="DB277" i="1" s="1"/>
  <c r="DF277" i="1" s="1"/>
  <c r="CW277" i="1"/>
  <c r="DA277" i="1" s="1"/>
  <c r="DE277" i="1" s="1"/>
  <c r="CR277" i="1"/>
  <c r="CT277" i="1" s="1"/>
  <c r="CQ277" i="1"/>
  <c r="CS277" i="1" s="1"/>
  <c r="CH277" i="1"/>
  <c r="CG277" i="1"/>
  <c r="BT277" i="1"/>
  <c r="BS277" i="1"/>
  <c r="BG277" i="1"/>
  <c r="BF277" i="1"/>
  <c r="AV277" i="1"/>
  <c r="AU277" i="1"/>
  <c r="AN277" i="1"/>
  <c r="AM277" i="1"/>
  <c r="AJ277" i="1"/>
  <c r="AI277" i="1"/>
  <c r="AH277" i="1"/>
  <c r="AG277" i="1"/>
  <c r="AF277" i="1"/>
  <c r="AB277" i="1"/>
  <c r="AC277" i="1" s="1"/>
  <c r="X277" i="1"/>
  <c r="W277" i="1"/>
  <c r="Y277" i="1" s="1"/>
  <c r="EL276" i="1"/>
  <c r="EK276" i="1"/>
  <c r="DT276" i="1"/>
  <c r="DS276" i="1"/>
  <c r="DH276" i="1"/>
  <c r="DG276" i="1"/>
  <c r="DB276" i="1"/>
  <c r="DF276" i="1" s="1"/>
  <c r="CX276" i="1"/>
  <c r="CW276" i="1"/>
  <c r="DA276" i="1" s="1"/>
  <c r="DE276" i="1" s="1"/>
  <c r="CR276" i="1"/>
  <c r="CT276" i="1" s="1"/>
  <c r="CQ276" i="1"/>
  <c r="CS276" i="1" s="1"/>
  <c r="CH276" i="1"/>
  <c r="CG276" i="1"/>
  <c r="BT276" i="1"/>
  <c r="BS276" i="1"/>
  <c r="BG276" i="1"/>
  <c r="BF276" i="1"/>
  <c r="AV276" i="1"/>
  <c r="AU276" i="1"/>
  <c r="AN276" i="1"/>
  <c r="AM276" i="1"/>
  <c r="AQ276" i="1" s="1"/>
  <c r="AJ276" i="1"/>
  <c r="AI276" i="1"/>
  <c r="AH276" i="1"/>
  <c r="AG276" i="1"/>
  <c r="AF276" i="1"/>
  <c r="AB276" i="1"/>
  <c r="AC276" i="1" s="1"/>
  <c r="X276" i="1"/>
  <c r="W276" i="1"/>
  <c r="Y276" i="1" s="1"/>
  <c r="EL275" i="1"/>
  <c r="EK275" i="1"/>
  <c r="DT275" i="1"/>
  <c r="DS275" i="1"/>
  <c r="DH275" i="1"/>
  <c r="DG275" i="1"/>
  <c r="DE275" i="1"/>
  <c r="DI275" i="1" s="1"/>
  <c r="DM275" i="1" s="1"/>
  <c r="DQ275" i="1" s="1"/>
  <c r="DU275" i="1" s="1"/>
  <c r="DY275" i="1" s="1"/>
  <c r="EC275" i="1" s="1"/>
  <c r="CX275" i="1"/>
  <c r="DB275" i="1" s="1"/>
  <c r="DF275" i="1" s="1"/>
  <c r="CW275" i="1"/>
  <c r="DA275" i="1" s="1"/>
  <c r="CR275" i="1"/>
  <c r="CT275" i="1" s="1"/>
  <c r="CQ275" i="1"/>
  <c r="CS275" i="1" s="1"/>
  <c r="CH275" i="1"/>
  <c r="CG275" i="1"/>
  <c r="BT275" i="1"/>
  <c r="BS275" i="1"/>
  <c r="BG275" i="1"/>
  <c r="BF275" i="1"/>
  <c r="AV275" i="1"/>
  <c r="AU275" i="1"/>
  <c r="AN275" i="1"/>
  <c r="AM275" i="1"/>
  <c r="AJ275" i="1"/>
  <c r="AI275" i="1"/>
  <c r="AH275" i="1"/>
  <c r="AG275" i="1"/>
  <c r="AF275" i="1"/>
  <c r="AB275" i="1"/>
  <c r="AC275" i="1" s="1"/>
  <c r="Y275" i="1"/>
  <c r="X275" i="1"/>
  <c r="W275" i="1"/>
  <c r="EL274" i="1"/>
  <c r="EK274" i="1"/>
  <c r="DT274" i="1"/>
  <c r="DS274" i="1"/>
  <c r="DH274" i="1"/>
  <c r="DG274" i="1"/>
  <c r="CX274" i="1"/>
  <c r="DB274" i="1" s="1"/>
  <c r="DF274" i="1" s="1"/>
  <c r="CW274" i="1"/>
  <c r="DA274" i="1" s="1"/>
  <c r="DE274" i="1" s="1"/>
  <c r="CR274" i="1"/>
  <c r="CT274" i="1" s="1"/>
  <c r="CQ274" i="1"/>
  <c r="CS274" i="1" s="1"/>
  <c r="CH274" i="1"/>
  <c r="CG274" i="1"/>
  <c r="BT274" i="1"/>
  <c r="BS274" i="1"/>
  <c r="BG274" i="1"/>
  <c r="BF274" i="1"/>
  <c r="AV274" i="1"/>
  <c r="AU274" i="1"/>
  <c r="AQ274" i="1"/>
  <c r="AY274" i="1" s="1"/>
  <c r="AN274" i="1"/>
  <c r="AM274" i="1"/>
  <c r="AJ274" i="1"/>
  <c r="AI274" i="1"/>
  <c r="AH274" i="1"/>
  <c r="AG274" i="1"/>
  <c r="AF274" i="1"/>
  <c r="AB274" i="1"/>
  <c r="AC274" i="1" s="1"/>
  <c r="X274" i="1"/>
  <c r="W274" i="1"/>
  <c r="Y274" i="1" s="1"/>
  <c r="EL273" i="1"/>
  <c r="EK273" i="1"/>
  <c r="DT273" i="1"/>
  <c r="DS273" i="1"/>
  <c r="DH273" i="1"/>
  <c r="DG273" i="1"/>
  <c r="CX273" i="1"/>
  <c r="DB273" i="1" s="1"/>
  <c r="DF273" i="1" s="1"/>
  <c r="CW273" i="1"/>
  <c r="DA273" i="1" s="1"/>
  <c r="DE273" i="1" s="1"/>
  <c r="CR273" i="1"/>
  <c r="CT273" i="1" s="1"/>
  <c r="CQ273" i="1"/>
  <c r="CS273" i="1" s="1"/>
  <c r="CH273" i="1"/>
  <c r="CG273" i="1"/>
  <c r="BT273" i="1"/>
  <c r="BS273" i="1"/>
  <c r="BG273" i="1"/>
  <c r="BF273" i="1"/>
  <c r="AV273" i="1"/>
  <c r="AU273" i="1"/>
  <c r="AN273" i="1"/>
  <c r="AM273" i="1"/>
  <c r="AJ273" i="1"/>
  <c r="AI273" i="1"/>
  <c r="AH273" i="1"/>
  <c r="AG273" i="1"/>
  <c r="AF273" i="1"/>
  <c r="AB273" i="1"/>
  <c r="AC273" i="1" s="1"/>
  <c r="X273" i="1"/>
  <c r="W273" i="1"/>
  <c r="Y273" i="1" s="1"/>
  <c r="EL272" i="1"/>
  <c r="EL286" i="1" s="1"/>
  <c r="EK272" i="1"/>
  <c r="DT272" i="1"/>
  <c r="DT286" i="1" s="1"/>
  <c r="DS272" i="1"/>
  <c r="CR272" i="1"/>
  <c r="CT272" i="1" s="1"/>
  <c r="CQ272" i="1"/>
  <c r="CS272" i="1" s="1"/>
  <c r="CS286" i="1" s="1"/>
  <c r="CS288" i="1" s="1"/>
  <c r="CH272" i="1"/>
  <c r="CH286" i="1" s="1"/>
  <c r="CH288" i="1" s="1"/>
  <c r="CG272" i="1"/>
  <c r="CG286" i="1" s="1"/>
  <c r="BZ272" i="1"/>
  <c r="BZ286" i="1" s="1"/>
  <c r="BZ288" i="1" s="1"/>
  <c r="BW272" i="1"/>
  <c r="BW286" i="1" s="1"/>
  <c r="BW288" i="1" s="1"/>
  <c r="BT272" i="1"/>
  <c r="BT286" i="1" s="1"/>
  <c r="BT288" i="1" s="1"/>
  <c r="BS272" i="1"/>
  <c r="BS286" i="1" s="1"/>
  <c r="BG272" i="1"/>
  <c r="BG286" i="1" s="1"/>
  <c r="BG288" i="1" s="1"/>
  <c r="BF272" i="1"/>
  <c r="BF286" i="1" s="1"/>
  <c r="AV272" i="1"/>
  <c r="AV286" i="1" s="1"/>
  <c r="AV288" i="1" s="1"/>
  <c r="AU272" i="1"/>
  <c r="AU286" i="1" s="1"/>
  <c r="AR272" i="1"/>
  <c r="AQ272" i="1"/>
  <c r="AQ286" i="1" s="1"/>
  <c r="AF272" i="1"/>
  <c r="AF286" i="1" s="1"/>
  <c r="AF288" i="1" s="1"/>
  <c r="AB272" i="1"/>
  <c r="AC272" i="1" s="1"/>
  <c r="W272" i="1"/>
  <c r="Y272" i="1" s="1"/>
  <c r="Q272" i="1"/>
  <c r="Q286" i="1" s="1"/>
  <c r="M272" i="1"/>
  <c r="FE271" i="1"/>
  <c r="ET271" i="1"/>
  <c r="DW271" i="1"/>
  <c r="BB271" i="1"/>
  <c r="EL270" i="1"/>
  <c r="EK270" i="1"/>
  <c r="DT270" i="1"/>
  <c r="DS270" i="1"/>
  <c r="DH270" i="1"/>
  <c r="DG270" i="1"/>
  <c r="CX270" i="1"/>
  <c r="DB270" i="1" s="1"/>
  <c r="DF270" i="1" s="1"/>
  <c r="CW270" i="1"/>
  <c r="DA270" i="1" s="1"/>
  <c r="DE270" i="1" s="1"/>
  <c r="CR270" i="1"/>
  <c r="CT270" i="1" s="1"/>
  <c r="CQ270" i="1"/>
  <c r="CS270" i="1" s="1"/>
  <c r="CH270" i="1"/>
  <c r="CG270" i="1"/>
  <c r="BT270" i="1"/>
  <c r="BS270" i="1"/>
  <c r="BG270" i="1"/>
  <c r="BF270" i="1"/>
  <c r="AF270" i="1"/>
  <c r="AB270" i="1"/>
  <c r="W270" i="1"/>
  <c r="Y270" i="1" s="1"/>
  <c r="AE270" i="1" s="1"/>
  <c r="AN270" i="1" s="1"/>
  <c r="Q270" i="1"/>
  <c r="M270" i="1"/>
  <c r="FD269" i="1"/>
  <c r="FD271" i="1" s="1"/>
  <c r="FC269" i="1"/>
  <c r="FC271" i="1" s="1"/>
  <c r="FB269" i="1"/>
  <c r="FB271" i="1" s="1"/>
  <c r="FA269" i="1"/>
  <c r="FA271" i="1" s="1"/>
  <c r="EZ269" i="1"/>
  <c r="EZ271" i="1" s="1"/>
  <c r="EY269" i="1"/>
  <c r="EY271" i="1" s="1"/>
  <c r="EX269" i="1"/>
  <c r="EX271" i="1" s="1"/>
  <c r="EW269" i="1"/>
  <c r="EW271" i="1" s="1"/>
  <c r="ES269" i="1"/>
  <c r="ES271" i="1" s="1"/>
  <c r="EP269" i="1"/>
  <c r="EP271" i="1" s="1"/>
  <c r="EO269" i="1"/>
  <c r="EO271" i="1" s="1"/>
  <c r="EF269" i="1"/>
  <c r="EF271" i="1" s="1"/>
  <c r="EE269" i="1"/>
  <c r="EE271" i="1" s="1"/>
  <c r="EB269" i="1"/>
  <c r="EB271" i="1" s="1"/>
  <c r="EA269" i="1"/>
  <c r="EA271" i="1" s="1"/>
  <c r="DX269" i="1"/>
  <c r="DX271" i="1" s="1"/>
  <c r="DW269" i="1"/>
  <c r="DP269" i="1"/>
  <c r="DP271" i="1" s="1"/>
  <c r="DO269" i="1"/>
  <c r="DO271" i="1" s="1"/>
  <c r="DL269" i="1"/>
  <c r="DL271" i="1" s="1"/>
  <c r="DK269" i="1"/>
  <c r="DK271" i="1" s="1"/>
  <c r="DD269" i="1"/>
  <c r="DD271" i="1" s="1"/>
  <c r="DC269" i="1"/>
  <c r="DC271" i="1" s="1"/>
  <c r="CZ269" i="1"/>
  <c r="CZ271" i="1" s="1"/>
  <c r="CY269" i="1"/>
  <c r="CY271" i="1" s="1"/>
  <c r="CV269" i="1"/>
  <c r="CO269" i="1"/>
  <c r="CO271" i="1" s="1"/>
  <c r="CN269" i="1"/>
  <c r="CN271" i="1" s="1"/>
  <c r="CM269" i="1"/>
  <c r="CM271" i="1" s="1"/>
  <c r="CL269" i="1"/>
  <c r="CJ269" i="1"/>
  <c r="CJ271" i="1" s="1"/>
  <c r="CI269" i="1"/>
  <c r="CI271" i="1" s="1"/>
  <c r="CF269" i="1"/>
  <c r="CF271" i="1" s="1"/>
  <c r="CE269" i="1"/>
  <c r="CE271" i="1" s="1"/>
  <c r="CD269" i="1"/>
  <c r="CD271" i="1" s="1"/>
  <c r="CC269" i="1"/>
  <c r="CC271" i="1" s="1"/>
  <c r="CB269" i="1"/>
  <c r="CB271" i="1" s="1"/>
  <c r="CA269" i="1"/>
  <c r="CA271" i="1" s="1"/>
  <c r="BZ269" i="1"/>
  <c r="BZ271" i="1" s="1"/>
  <c r="BY269" i="1"/>
  <c r="BY271" i="1" s="1"/>
  <c r="BX269" i="1"/>
  <c r="BW269" i="1"/>
  <c r="BW271" i="1" s="1"/>
  <c r="BP269" i="1"/>
  <c r="BP271" i="1" s="1"/>
  <c r="BO269" i="1"/>
  <c r="BO271" i="1" s="1"/>
  <c r="BK269" i="1"/>
  <c r="BK271" i="1" s="1"/>
  <c r="BJ269" i="1"/>
  <c r="BJ271" i="1" s="1"/>
  <c r="BI269" i="1"/>
  <c r="BI271" i="1" s="1"/>
  <c r="BH269" i="1"/>
  <c r="BH271" i="1" s="1"/>
  <c r="BC269" i="1"/>
  <c r="BC271" i="1" s="1"/>
  <c r="BB269" i="1"/>
  <c r="AX269" i="1"/>
  <c r="AX271" i="1" s="1"/>
  <c r="AW269" i="1"/>
  <c r="AW271" i="1" s="1"/>
  <c r="AT269" i="1"/>
  <c r="AT271" i="1" s="1"/>
  <c r="AS269" i="1"/>
  <c r="AS271" i="1" s="1"/>
  <c r="AP269" i="1"/>
  <c r="AP271" i="1" s="1"/>
  <c r="AO269" i="1"/>
  <c r="AO271" i="1" s="1"/>
  <c r="AL269" i="1"/>
  <c r="AL271" i="1" s="1"/>
  <c r="AK269" i="1"/>
  <c r="AK271" i="1" s="1"/>
  <c r="AA269" i="1"/>
  <c r="AA271" i="1" s="1"/>
  <c r="Z269" i="1"/>
  <c r="U269" i="1"/>
  <c r="U271" i="1" s="1"/>
  <c r="T269" i="1"/>
  <c r="T271" i="1" s="1"/>
  <c r="S269" i="1"/>
  <c r="S271" i="1" s="1"/>
  <c r="P269" i="1"/>
  <c r="P271" i="1" s="1"/>
  <c r="O269" i="1"/>
  <c r="O271" i="1" s="1"/>
  <c r="N269" i="1"/>
  <c r="N271" i="1" s="1"/>
  <c r="L269" i="1"/>
  <c r="L271" i="1" s="1"/>
  <c r="K269" i="1"/>
  <c r="K271" i="1" s="1"/>
  <c r="J269" i="1"/>
  <c r="J271" i="1" s="1"/>
  <c r="EL268" i="1"/>
  <c r="EK268" i="1"/>
  <c r="DT268" i="1"/>
  <c r="DS268" i="1"/>
  <c r="DH268" i="1"/>
  <c r="CX268" i="1"/>
  <c r="DB268" i="1" s="1"/>
  <c r="DF268" i="1" s="1"/>
  <c r="CR268" i="1"/>
  <c r="CT268" i="1" s="1"/>
  <c r="CK268" i="1"/>
  <c r="CQ268" i="1" s="1"/>
  <c r="CH268" i="1"/>
  <c r="CG268" i="1"/>
  <c r="BT268" i="1"/>
  <c r="BS268" i="1"/>
  <c r="BG268" i="1"/>
  <c r="BF268" i="1"/>
  <c r="AF268" i="1"/>
  <c r="AB268" i="1"/>
  <c r="W268" i="1"/>
  <c r="Y268" i="1" s="1"/>
  <c r="AE268" i="1" s="1"/>
  <c r="V268" i="1"/>
  <c r="Q268" i="1"/>
  <c r="R268" i="1" s="1"/>
  <c r="X268" i="1" s="1"/>
  <c r="AD268" i="1" s="1"/>
  <c r="M268" i="1"/>
  <c r="EL267" i="1"/>
  <c r="EL269" i="1" s="1"/>
  <c r="EK267" i="1"/>
  <c r="DT267" i="1"/>
  <c r="DS267" i="1"/>
  <c r="DH267" i="1"/>
  <c r="DH269" i="1" s="1"/>
  <c r="CX267" i="1"/>
  <c r="DB267" i="1" s="1"/>
  <c r="CR267" i="1"/>
  <c r="CQ267" i="1"/>
  <c r="CP267" i="1"/>
  <c r="CP269" i="1" s="1"/>
  <c r="CP271" i="1" s="1"/>
  <c r="CH267" i="1"/>
  <c r="CG267" i="1"/>
  <c r="BT267" i="1"/>
  <c r="BS267" i="1"/>
  <c r="BG267" i="1"/>
  <c r="BF267" i="1"/>
  <c r="AF267" i="1"/>
  <c r="AB267" i="1"/>
  <c r="W267" i="1"/>
  <c r="Y267" i="1" s="1"/>
  <c r="V267" i="1"/>
  <c r="Q267" i="1"/>
  <c r="M267" i="1"/>
  <c r="EL266" i="1"/>
  <c r="EK266" i="1"/>
  <c r="DT266" i="1"/>
  <c r="DS266" i="1"/>
  <c r="DG266" i="1"/>
  <c r="CW266" i="1"/>
  <c r="CL266" i="1"/>
  <c r="CK266" i="1"/>
  <c r="CH266" i="1"/>
  <c r="CG266" i="1"/>
  <c r="BX266" i="1"/>
  <c r="BX271" i="1" s="1"/>
  <c r="BT266" i="1"/>
  <c r="BS266" i="1"/>
  <c r="BG266" i="1"/>
  <c r="BF266" i="1"/>
  <c r="AF266" i="1"/>
  <c r="AB266" i="1"/>
  <c r="W266" i="1"/>
  <c r="V266" i="1"/>
  <c r="Q266" i="1"/>
  <c r="M266" i="1"/>
  <c r="FE265" i="1"/>
  <c r="FD265" i="1"/>
  <c r="FC265" i="1"/>
  <c r="FB265" i="1"/>
  <c r="FA265" i="1"/>
  <c r="EZ265" i="1"/>
  <c r="EY265" i="1"/>
  <c r="EX265" i="1"/>
  <c r="EW265" i="1"/>
  <c r="ET265" i="1"/>
  <c r="ES265" i="1"/>
  <c r="EP265" i="1"/>
  <c r="EO265" i="1"/>
  <c r="EF265" i="1"/>
  <c r="EE265" i="1"/>
  <c r="EB265" i="1"/>
  <c r="EA265" i="1"/>
  <c r="DX265" i="1"/>
  <c r="DW265" i="1"/>
  <c r="DP265" i="1"/>
  <c r="DO265" i="1"/>
  <c r="DL265" i="1"/>
  <c r="DK265" i="1"/>
  <c r="DD265" i="1"/>
  <c r="DC265" i="1"/>
  <c r="CZ265" i="1"/>
  <c r="CY265" i="1"/>
  <c r="CO265" i="1"/>
  <c r="CN265" i="1"/>
  <c r="CM265" i="1"/>
  <c r="CL265" i="1"/>
  <c r="CJ265" i="1"/>
  <c r="CI265" i="1"/>
  <c r="CE265" i="1"/>
  <c r="CD265" i="1"/>
  <c r="CC265" i="1"/>
  <c r="CB265" i="1"/>
  <c r="CA265" i="1"/>
  <c r="BZ265" i="1"/>
  <c r="BY265" i="1"/>
  <c r="BX265" i="1"/>
  <c r="BW265" i="1"/>
  <c r="BV265" i="1"/>
  <c r="BU265" i="1"/>
  <c r="BP265" i="1"/>
  <c r="BO265" i="1"/>
  <c r="BK265" i="1"/>
  <c r="BJ265" i="1"/>
  <c r="BI265" i="1"/>
  <c r="BH265" i="1"/>
  <c r="BC265" i="1"/>
  <c r="BB265" i="1"/>
  <c r="AX265" i="1"/>
  <c r="AW265" i="1"/>
  <c r="AT265" i="1"/>
  <c r="AS265" i="1"/>
  <c r="AP265" i="1"/>
  <c r="AO265" i="1"/>
  <c r="AL265" i="1"/>
  <c r="AK265" i="1"/>
  <c r="AA265" i="1"/>
  <c r="Z265" i="1"/>
  <c r="U265" i="1"/>
  <c r="T265" i="1"/>
  <c r="S265" i="1"/>
  <c r="P265" i="1"/>
  <c r="O265" i="1"/>
  <c r="N265" i="1"/>
  <c r="L265" i="1"/>
  <c r="K265" i="1"/>
  <c r="J265" i="1"/>
  <c r="EL264" i="1"/>
  <c r="EK264" i="1"/>
  <c r="DT264" i="1"/>
  <c r="DS264" i="1"/>
  <c r="DN264" i="1"/>
  <c r="DR264" i="1" s="1"/>
  <c r="DV264" i="1" s="1"/>
  <c r="DM264" i="1"/>
  <c r="DQ264" i="1" s="1"/>
  <c r="CR264" i="1"/>
  <c r="CQ264" i="1"/>
  <c r="CP264" i="1"/>
  <c r="CH264" i="1"/>
  <c r="CG264" i="1"/>
  <c r="CF264" i="1"/>
  <c r="CF265" i="1" s="1"/>
  <c r="BT264" i="1"/>
  <c r="BS264" i="1"/>
  <c r="BG264" i="1"/>
  <c r="BF264" i="1"/>
  <c r="AF264" i="1"/>
  <c r="AB264" i="1"/>
  <c r="W264" i="1"/>
  <c r="Y264" i="1" s="1"/>
  <c r="AE264" i="1" s="1"/>
  <c r="AN264" i="1" s="1"/>
  <c r="AR264" i="1" s="1"/>
  <c r="V264" i="1"/>
  <c r="Q264" i="1"/>
  <c r="M264" i="1"/>
  <c r="EL263" i="1"/>
  <c r="EK263" i="1"/>
  <c r="DT263" i="1"/>
  <c r="DS263" i="1"/>
  <c r="CR263" i="1"/>
  <c r="CT263" i="1" s="1"/>
  <c r="CK263" i="1"/>
  <c r="CK265" i="1" s="1"/>
  <c r="CH263" i="1"/>
  <c r="CH265" i="1" s="1"/>
  <c r="CG263" i="1"/>
  <c r="BT263" i="1"/>
  <c r="BS263" i="1"/>
  <c r="BG263" i="1"/>
  <c r="BF263" i="1"/>
  <c r="BF265" i="1" s="1"/>
  <c r="AF263" i="1"/>
  <c r="AB263" i="1"/>
  <c r="W263" i="1"/>
  <c r="Y263" i="1" s="1"/>
  <c r="V263" i="1"/>
  <c r="V265" i="1" s="1"/>
  <c r="Q263" i="1"/>
  <c r="M263" i="1"/>
  <c r="M265" i="1" s="1"/>
  <c r="FB262" i="1"/>
  <c r="FA262" i="1"/>
  <c r="EL261" i="1"/>
  <c r="EK261" i="1"/>
  <c r="DT261" i="1"/>
  <c r="DS261" i="1"/>
  <c r="CR261" i="1"/>
  <c r="CT261" i="1" s="1"/>
  <c r="CQ261" i="1"/>
  <c r="CH261" i="1"/>
  <c r="CG261" i="1"/>
  <c r="BX261" i="1"/>
  <c r="BT261" i="1"/>
  <c r="BS261" i="1"/>
  <c r="BG261" i="1"/>
  <c r="BF261" i="1"/>
  <c r="AF261" i="1"/>
  <c r="AB261" i="1"/>
  <c r="W261" i="1"/>
  <c r="Y261" i="1" s="1"/>
  <c r="AE261" i="1" s="1"/>
  <c r="V261" i="1"/>
  <c r="Q261" i="1"/>
  <c r="M261" i="1"/>
  <c r="EZ260" i="1"/>
  <c r="EY260" i="1"/>
  <c r="EX260" i="1"/>
  <c r="EW260" i="1"/>
  <c r="ET260" i="1"/>
  <c r="ES260" i="1"/>
  <c r="ER260" i="1"/>
  <c r="EQ260" i="1"/>
  <c r="EP260" i="1"/>
  <c r="EO260" i="1"/>
  <c r="EF260" i="1"/>
  <c r="EE260" i="1"/>
  <c r="EB260" i="1"/>
  <c r="EA260" i="1"/>
  <c r="DX260" i="1"/>
  <c r="DW260" i="1"/>
  <c r="DP260" i="1"/>
  <c r="DO260" i="1"/>
  <c r="DL260" i="1"/>
  <c r="DK260" i="1"/>
  <c r="DD260" i="1"/>
  <c r="DC260" i="1"/>
  <c r="CZ260" i="1"/>
  <c r="CY260" i="1"/>
  <c r="CP260" i="1"/>
  <c r="CO260" i="1"/>
  <c r="CN260" i="1"/>
  <c r="CM260" i="1"/>
  <c r="CL260" i="1"/>
  <c r="CK260" i="1"/>
  <c r="CJ260" i="1"/>
  <c r="CI260" i="1"/>
  <c r="CF260" i="1"/>
  <c r="CE260" i="1"/>
  <c r="CD260" i="1"/>
  <c r="CC260" i="1"/>
  <c r="CB260" i="1"/>
  <c r="CA260" i="1"/>
  <c r="BZ260" i="1"/>
  <c r="BY260" i="1"/>
  <c r="BX260" i="1"/>
  <c r="BW260" i="1"/>
  <c r="BV260" i="1"/>
  <c r="BP260" i="1"/>
  <c r="BO260" i="1"/>
  <c r="BK260" i="1"/>
  <c r="BJ260" i="1"/>
  <c r="BI260" i="1"/>
  <c r="BH260" i="1"/>
  <c r="BC260" i="1"/>
  <c r="BB260" i="1"/>
  <c r="AX260" i="1"/>
  <c r="AW260" i="1"/>
  <c r="AT260" i="1"/>
  <c r="AS260" i="1"/>
  <c r="AP260" i="1"/>
  <c r="AO260" i="1"/>
  <c r="AL260" i="1"/>
  <c r="AK260" i="1"/>
  <c r="AA260" i="1"/>
  <c r="Z260" i="1"/>
  <c r="U260" i="1"/>
  <c r="T260" i="1"/>
  <c r="S260" i="1"/>
  <c r="P260" i="1"/>
  <c r="O260" i="1"/>
  <c r="N260" i="1"/>
  <c r="L260" i="1"/>
  <c r="K260" i="1"/>
  <c r="J260" i="1"/>
  <c r="EL259" i="1"/>
  <c r="EK259" i="1"/>
  <c r="DT259" i="1"/>
  <c r="DS259" i="1"/>
  <c r="CR259" i="1"/>
  <c r="CT259" i="1" s="1"/>
  <c r="CQ259" i="1"/>
  <c r="CS259" i="1" s="1"/>
  <c r="CH259" i="1"/>
  <c r="CG259" i="1"/>
  <c r="BT259" i="1"/>
  <c r="BS259" i="1"/>
  <c r="BG259" i="1"/>
  <c r="BF259" i="1"/>
  <c r="AF259" i="1"/>
  <c r="AB259" i="1"/>
  <c r="W259" i="1"/>
  <c r="Y259" i="1" s="1"/>
  <c r="AE259" i="1" s="1"/>
  <c r="V259" i="1"/>
  <c r="Q259" i="1"/>
  <c r="M259" i="1"/>
  <c r="EL258" i="1"/>
  <c r="EK258" i="1"/>
  <c r="DT258" i="1"/>
  <c r="DS258" i="1"/>
  <c r="CR258" i="1"/>
  <c r="CT258" i="1" s="1"/>
  <c r="CQ258" i="1"/>
  <c r="CS258" i="1" s="1"/>
  <c r="CU258" i="1" s="1"/>
  <c r="CH258" i="1"/>
  <c r="CG258" i="1"/>
  <c r="BT258" i="1"/>
  <c r="BS258" i="1"/>
  <c r="BG258" i="1"/>
  <c r="BF258" i="1"/>
  <c r="AF258" i="1"/>
  <c r="AB258" i="1"/>
  <c r="W258" i="1"/>
  <c r="Y258" i="1" s="1"/>
  <c r="AE258" i="1" s="1"/>
  <c r="AH258" i="1" s="1"/>
  <c r="V258" i="1"/>
  <c r="Q258" i="1"/>
  <c r="M258" i="1"/>
  <c r="EL257" i="1"/>
  <c r="EK257" i="1"/>
  <c r="DT257" i="1"/>
  <c r="DS257" i="1"/>
  <c r="CR257" i="1"/>
  <c r="CT257" i="1" s="1"/>
  <c r="CQ257" i="1"/>
  <c r="CS257" i="1" s="1"/>
  <c r="CH257" i="1"/>
  <c r="CG257" i="1"/>
  <c r="BT257" i="1"/>
  <c r="BS257" i="1"/>
  <c r="BG257" i="1"/>
  <c r="BF257" i="1"/>
  <c r="AF257" i="1"/>
  <c r="AB257" i="1"/>
  <c r="W257" i="1"/>
  <c r="Y257" i="1" s="1"/>
  <c r="V257" i="1"/>
  <c r="Q257" i="1"/>
  <c r="M257" i="1"/>
  <c r="EZ256" i="1"/>
  <c r="EY256" i="1"/>
  <c r="EX256" i="1"/>
  <c r="EW256" i="1"/>
  <c r="ET256" i="1"/>
  <c r="ES256" i="1"/>
  <c r="ER256" i="1"/>
  <c r="EQ256" i="1"/>
  <c r="EP256" i="1"/>
  <c r="EO256" i="1"/>
  <c r="EF256" i="1"/>
  <c r="EE256" i="1"/>
  <c r="EB256" i="1"/>
  <c r="EA256" i="1"/>
  <c r="DX256" i="1"/>
  <c r="DW256" i="1"/>
  <c r="DP256" i="1"/>
  <c r="DO256" i="1"/>
  <c r="DL256" i="1"/>
  <c r="DK256" i="1"/>
  <c r="DD256" i="1"/>
  <c r="DC256" i="1"/>
  <c r="CZ256" i="1"/>
  <c r="CY256" i="1"/>
  <c r="CP256" i="1"/>
  <c r="CO256" i="1"/>
  <c r="CN256" i="1"/>
  <c r="CM256" i="1"/>
  <c r="CJ256" i="1"/>
  <c r="CI256" i="1"/>
  <c r="CF256" i="1"/>
  <c r="CE256" i="1"/>
  <c r="CD256" i="1"/>
  <c r="CC256" i="1"/>
  <c r="CB256" i="1"/>
  <c r="CA256" i="1"/>
  <c r="BZ256" i="1"/>
  <c r="BY256" i="1"/>
  <c r="BX256" i="1"/>
  <c r="BW256" i="1"/>
  <c r="BV256" i="1"/>
  <c r="BP256" i="1"/>
  <c r="BO256" i="1"/>
  <c r="BK256" i="1"/>
  <c r="BJ256" i="1"/>
  <c r="BI256" i="1"/>
  <c r="BH256" i="1"/>
  <c r="BC256" i="1"/>
  <c r="BB256" i="1"/>
  <c r="AX256" i="1"/>
  <c r="AW256" i="1"/>
  <c r="AT256" i="1"/>
  <c r="AS256" i="1"/>
  <c r="AP256" i="1"/>
  <c r="AO256" i="1"/>
  <c r="AL256" i="1"/>
  <c r="AK256" i="1"/>
  <c r="AA256" i="1"/>
  <c r="Z256" i="1"/>
  <c r="U256" i="1"/>
  <c r="T256" i="1"/>
  <c r="S256" i="1"/>
  <c r="P256" i="1"/>
  <c r="O256" i="1"/>
  <c r="N256" i="1"/>
  <c r="L256" i="1"/>
  <c r="K256" i="1"/>
  <c r="J256" i="1"/>
  <c r="EL255" i="1"/>
  <c r="EK255" i="1"/>
  <c r="DT255" i="1"/>
  <c r="DS255" i="1"/>
  <c r="CR255" i="1"/>
  <c r="CT255" i="1" s="1"/>
  <c r="CQ255" i="1"/>
  <c r="CH255" i="1"/>
  <c r="CG255" i="1"/>
  <c r="BT255" i="1"/>
  <c r="BS255" i="1"/>
  <c r="BG255" i="1"/>
  <c r="BF255" i="1"/>
  <c r="AF255" i="1"/>
  <c r="AB255" i="1"/>
  <c r="W255" i="1"/>
  <c r="Y255" i="1" s="1"/>
  <c r="AE255" i="1" s="1"/>
  <c r="V255" i="1"/>
  <c r="Q255" i="1"/>
  <c r="M255" i="1"/>
  <c r="EL254" i="1"/>
  <c r="EK254" i="1"/>
  <c r="DT254" i="1"/>
  <c r="DS254" i="1"/>
  <c r="DN254" i="1"/>
  <c r="DM254" i="1"/>
  <c r="DQ254" i="1" s="1"/>
  <c r="CL254" i="1"/>
  <c r="CK254" i="1"/>
  <c r="CH254" i="1"/>
  <c r="CG254" i="1"/>
  <c r="BT254" i="1"/>
  <c r="BS254" i="1"/>
  <c r="BG254" i="1"/>
  <c r="BG256" i="1" s="1"/>
  <c r="BF254" i="1"/>
  <c r="AF254" i="1"/>
  <c r="AB254" i="1"/>
  <c r="W254" i="1"/>
  <c r="Y254" i="1" s="1"/>
  <c r="AE254" i="1" s="1"/>
  <c r="AV254" i="1" s="1"/>
  <c r="V254" i="1"/>
  <c r="Q254" i="1"/>
  <c r="M254" i="1"/>
  <c r="M256" i="1" s="1"/>
  <c r="EZ253" i="1"/>
  <c r="EX253" i="1"/>
  <c r="ET253" i="1"/>
  <c r="ES253" i="1"/>
  <c r="ER253" i="1"/>
  <c r="EQ253" i="1"/>
  <c r="EP253" i="1"/>
  <c r="EO253" i="1"/>
  <c r="EF253" i="1"/>
  <c r="EE253" i="1"/>
  <c r="EB253" i="1"/>
  <c r="EA253" i="1"/>
  <c r="DX253" i="1"/>
  <c r="DW253" i="1"/>
  <c r="DP253" i="1"/>
  <c r="DL253" i="1"/>
  <c r="DK253" i="1"/>
  <c r="DD253" i="1"/>
  <c r="DC253" i="1"/>
  <c r="CZ253" i="1"/>
  <c r="CY253" i="1"/>
  <c r="CP253" i="1"/>
  <c r="CO253" i="1"/>
  <c r="CN253" i="1"/>
  <c r="CM253" i="1"/>
  <c r="CL253" i="1"/>
  <c r="CJ253" i="1"/>
  <c r="CI253" i="1"/>
  <c r="CF253" i="1"/>
  <c r="CE253" i="1"/>
  <c r="CD253" i="1"/>
  <c r="CC253" i="1"/>
  <c r="CB253" i="1"/>
  <c r="CA253" i="1"/>
  <c r="BZ253" i="1"/>
  <c r="BY253" i="1"/>
  <c r="BX253" i="1"/>
  <c r="BW253" i="1"/>
  <c r="BV253" i="1"/>
  <c r="BP253" i="1"/>
  <c r="BO253" i="1"/>
  <c r="BK253" i="1"/>
  <c r="BJ253" i="1"/>
  <c r="BI253" i="1"/>
  <c r="BH253" i="1"/>
  <c r="BC253" i="1"/>
  <c r="BB253" i="1"/>
  <c r="AX253" i="1"/>
  <c r="AW253" i="1"/>
  <c r="AT253" i="1"/>
  <c r="AS253" i="1"/>
  <c r="AP253" i="1"/>
  <c r="AO253" i="1"/>
  <c r="AL253" i="1"/>
  <c r="AK253" i="1"/>
  <c r="AA253" i="1"/>
  <c r="Z253" i="1"/>
  <c r="U253" i="1"/>
  <c r="T253" i="1"/>
  <c r="S253" i="1"/>
  <c r="P253" i="1"/>
  <c r="O253" i="1"/>
  <c r="N253" i="1"/>
  <c r="L253" i="1"/>
  <c r="K253" i="1"/>
  <c r="J253" i="1"/>
  <c r="A253" i="1"/>
  <c r="EL252" i="1"/>
  <c r="EK252" i="1"/>
  <c r="DT252" i="1"/>
  <c r="DS252" i="1"/>
  <c r="CR252" i="1"/>
  <c r="CQ252" i="1"/>
  <c r="CH252" i="1"/>
  <c r="CG252" i="1"/>
  <c r="BT252" i="1"/>
  <c r="BS252" i="1"/>
  <c r="BG252" i="1"/>
  <c r="BF252" i="1"/>
  <c r="AF252" i="1"/>
  <c r="AB252" i="1"/>
  <c r="W252" i="1"/>
  <c r="Y252" i="1" s="1"/>
  <c r="AE252" i="1" s="1"/>
  <c r="V252" i="1"/>
  <c r="Q252" i="1"/>
  <c r="R252" i="1" s="1"/>
  <c r="X252" i="1" s="1"/>
  <c r="AD252" i="1" s="1"/>
  <c r="M252" i="1"/>
  <c r="EY251" i="1"/>
  <c r="EW251" i="1"/>
  <c r="EL251" i="1"/>
  <c r="EK251" i="1"/>
  <c r="DT251" i="1"/>
  <c r="DS251" i="1"/>
  <c r="CR251" i="1"/>
  <c r="CT251" i="1" s="1"/>
  <c r="CV251" i="1" s="1"/>
  <c r="CK251" i="1"/>
  <c r="CQ251" i="1" s="1"/>
  <c r="CS251" i="1" s="1"/>
  <c r="CH251" i="1"/>
  <c r="CG251" i="1"/>
  <c r="BT251" i="1"/>
  <c r="BS251" i="1"/>
  <c r="BG251" i="1"/>
  <c r="BF251" i="1"/>
  <c r="AF251" i="1"/>
  <c r="AB251" i="1"/>
  <c r="W251" i="1"/>
  <c r="Y251" i="1" s="1"/>
  <c r="AE251" i="1" s="1"/>
  <c r="AN251" i="1" s="1"/>
  <c r="V251" i="1"/>
  <c r="Q251" i="1"/>
  <c r="R251" i="1" s="1"/>
  <c r="M251" i="1"/>
  <c r="EY250" i="1"/>
  <c r="EY253" i="1" s="1"/>
  <c r="EW250" i="1"/>
  <c r="EL250" i="1"/>
  <c r="EK250" i="1"/>
  <c r="DT250" i="1"/>
  <c r="DO250" i="1"/>
  <c r="CR250" i="1"/>
  <c r="CK250" i="1"/>
  <c r="CH250" i="1"/>
  <c r="CG250" i="1"/>
  <c r="BT250" i="1"/>
  <c r="BS250" i="1"/>
  <c r="BG250" i="1"/>
  <c r="BF250" i="1"/>
  <c r="AF250" i="1"/>
  <c r="AB250" i="1"/>
  <c r="W250" i="1"/>
  <c r="V250" i="1"/>
  <c r="Q250" i="1"/>
  <c r="M250" i="1"/>
  <c r="EL249" i="1"/>
  <c r="EK249" i="1"/>
  <c r="DT249" i="1"/>
  <c r="DS249" i="1"/>
  <c r="DB249" i="1"/>
  <c r="DF249" i="1" s="1"/>
  <c r="CR249" i="1"/>
  <c r="CQ249" i="1"/>
  <c r="CS249" i="1" s="1"/>
  <c r="CH249" i="1"/>
  <c r="CG249" i="1"/>
  <c r="BT249" i="1"/>
  <c r="BS249" i="1"/>
  <c r="BG249" i="1"/>
  <c r="BF249" i="1"/>
  <c r="AF249" i="1"/>
  <c r="AB249" i="1"/>
  <c r="W249" i="1"/>
  <c r="Y249" i="1" s="1"/>
  <c r="V249" i="1"/>
  <c r="Q249" i="1"/>
  <c r="M249" i="1"/>
  <c r="EZ248" i="1"/>
  <c r="EX248" i="1"/>
  <c r="ET248" i="1"/>
  <c r="ES248" i="1"/>
  <c r="ER248" i="1"/>
  <c r="EQ248" i="1"/>
  <c r="EP248" i="1"/>
  <c r="EO248" i="1"/>
  <c r="EF248" i="1"/>
  <c r="EE248" i="1"/>
  <c r="EB248" i="1"/>
  <c r="EA248" i="1"/>
  <c r="DX248" i="1"/>
  <c r="DW248" i="1"/>
  <c r="DP248" i="1"/>
  <c r="DO248" i="1"/>
  <c r="DL248" i="1"/>
  <c r="DK248" i="1"/>
  <c r="DD248" i="1"/>
  <c r="DC248" i="1"/>
  <c r="CZ248" i="1"/>
  <c r="CY248" i="1"/>
  <c r="CP248" i="1"/>
  <c r="CO248" i="1"/>
  <c r="CN248" i="1"/>
  <c r="CM248" i="1"/>
  <c r="CJ248" i="1"/>
  <c r="CI248" i="1"/>
  <c r="CF248" i="1"/>
  <c r="CE248" i="1"/>
  <c r="CD248" i="1"/>
  <c r="CC248" i="1"/>
  <c r="CB248" i="1"/>
  <c r="CA248" i="1"/>
  <c r="BZ248" i="1"/>
  <c r="BY248" i="1"/>
  <c r="BW248" i="1"/>
  <c r="BV248" i="1"/>
  <c r="BP248" i="1"/>
  <c r="BO248" i="1"/>
  <c r="BK248" i="1"/>
  <c r="BJ248" i="1"/>
  <c r="BI248" i="1"/>
  <c r="BH248" i="1"/>
  <c r="BC248" i="1"/>
  <c r="BB248" i="1"/>
  <c r="AX248" i="1"/>
  <c r="AW248" i="1"/>
  <c r="AT248" i="1"/>
  <c r="AS248" i="1"/>
  <c r="AP248" i="1"/>
  <c r="AO248" i="1"/>
  <c r="AL248" i="1"/>
  <c r="AK248" i="1"/>
  <c r="AA248" i="1"/>
  <c r="Z248" i="1"/>
  <c r="U248" i="1"/>
  <c r="T248" i="1"/>
  <c r="S248" i="1"/>
  <c r="P248" i="1"/>
  <c r="O248" i="1"/>
  <c r="N248" i="1"/>
  <c r="L248" i="1"/>
  <c r="K248" i="1"/>
  <c r="J248" i="1"/>
  <c r="EL247" i="1"/>
  <c r="EK247" i="1"/>
  <c r="DT247" i="1"/>
  <c r="DS247" i="1"/>
  <c r="CR247" i="1"/>
  <c r="CQ247" i="1"/>
  <c r="CS247" i="1" s="1"/>
  <c r="CH247" i="1"/>
  <c r="CG247" i="1"/>
  <c r="BT247" i="1"/>
  <c r="BS247" i="1"/>
  <c r="BG247" i="1"/>
  <c r="BF247" i="1"/>
  <c r="AF247" i="1"/>
  <c r="AB247" i="1"/>
  <c r="W247" i="1"/>
  <c r="Y247" i="1" s="1"/>
  <c r="AE247" i="1" s="1"/>
  <c r="V247" i="1"/>
  <c r="Q247" i="1"/>
  <c r="M247" i="1"/>
  <c r="EL246" i="1"/>
  <c r="EK246" i="1"/>
  <c r="DT246" i="1"/>
  <c r="DS246" i="1"/>
  <c r="CR246" i="1"/>
  <c r="CQ246" i="1"/>
  <c r="CH246" i="1"/>
  <c r="CG246" i="1"/>
  <c r="BT246" i="1"/>
  <c r="BS246" i="1"/>
  <c r="BG246" i="1"/>
  <c r="BF246" i="1"/>
  <c r="AF246" i="1"/>
  <c r="AB246" i="1"/>
  <c r="W246" i="1"/>
  <c r="Y246" i="1" s="1"/>
  <c r="AE246" i="1" s="1"/>
  <c r="AN246" i="1" s="1"/>
  <c r="V246" i="1"/>
  <c r="Q246" i="1"/>
  <c r="R246" i="1" s="1"/>
  <c r="M246" i="1"/>
  <c r="EY245" i="1"/>
  <c r="EY248" i="1" s="1"/>
  <c r="EW245" i="1"/>
  <c r="EL245" i="1"/>
  <c r="EK245" i="1"/>
  <c r="DT245" i="1"/>
  <c r="DS245" i="1"/>
  <c r="CR245" i="1"/>
  <c r="CT245" i="1" s="1"/>
  <c r="CQ245" i="1"/>
  <c r="CS245" i="1" s="1"/>
  <c r="CH245" i="1"/>
  <c r="CG245" i="1"/>
  <c r="BT245" i="1"/>
  <c r="BS245" i="1"/>
  <c r="BG245" i="1"/>
  <c r="BF245" i="1"/>
  <c r="AF245" i="1"/>
  <c r="AB245" i="1"/>
  <c r="W245" i="1"/>
  <c r="Y245" i="1" s="1"/>
  <c r="AE245" i="1" s="1"/>
  <c r="V245" i="1"/>
  <c r="Q245" i="1"/>
  <c r="M245" i="1"/>
  <c r="EL244" i="1"/>
  <c r="EK244" i="1"/>
  <c r="DT244" i="1"/>
  <c r="DS244" i="1"/>
  <c r="DH244" i="1"/>
  <c r="DG244" i="1"/>
  <c r="CX244" i="1"/>
  <c r="DB244" i="1" s="1"/>
  <c r="DF244" i="1" s="1"/>
  <c r="CW244" i="1"/>
  <c r="CR244" i="1"/>
  <c r="CT244" i="1" s="1"/>
  <c r="CK244" i="1"/>
  <c r="CQ244" i="1" s="1"/>
  <c r="CS244" i="1" s="1"/>
  <c r="CH244" i="1"/>
  <c r="CG244" i="1"/>
  <c r="BT244" i="1"/>
  <c r="BS244" i="1"/>
  <c r="BG244" i="1"/>
  <c r="BF244" i="1"/>
  <c r="AF244" i="1"/>
  <c r="AB244" i="1"/>
  <c r="W244" i="1"/>
  <c r="Y244" i="1" s="1"/>
  <c r="AE244" i="1" s="1"/>
  <c r="V244" i="1"/>
  <c r="Q244" i="1"/>
  <c r="M244" i="1"/>
  <c r="EL243" i="1"/>
  <c r="EK243" i="1"/>
  <c r="DT243" i="1"/>
  <c r="DS243" i="1"/>
  <c r="CR243" i="1"/>
  <c r="CT243" i="1" s="1"/>
  <c r="CQ243" i="1"/>
  <c r="CS243" i="1" s="1"/>
  <c r="CH243" i="1"/>
  <c r="CG243" i="1"/>
  <c r="BT243" i="1"/>
  <c r="BS243" i="1"/>
  <c r="BG243" i="1"/>
  <c r="BF243" i="1"/>
  <c r="AF243" i="1"/>
  <c r="AB243" i="1"/>
  <c r="W243" i="1"/>
  <c r="Y243" i="1" s="1"/>
  <c r="AE243" i="1" s="1"/>
  <c r="V243" i="1"/>
  <c r="Q243" i="1"/>
  <c r="R243" i="1" s="1"/>
  <c r="M243" i="1"/>
  <c r="EL242" i="1"/>
  <c r="EK242" i="1"/>
  <c r="DT242" i="1"/>
  <c r="DS242" i="1"/>
  <c r="CR242" i="1"/>
  <c r="CK242" i="1"/>
  <c r="CH242" i="1"/>
  <c r="CG242" i="1"/>
  <c r="BT242" i="1"/>
  <c r="BS242" i="1"/>
  <c r="BG242" i="1"/>
  <c r="BF242" i="1"/>
  <c r="AF242" i="1"/>
  <c r="AB242" i="1"/>
  <c r="W242" i="1"/>
  <c r="Y242" i="1" s="1"/>
  <c r="AE242" i="1" s="1"/>
  <c r="AJ242" i="1" s="1"/>
  <c r="V242" i="1"/>
  <c r="Q242" i="1"/>
  <c r="M242" i="1"/>
  <c r="EL241" i="1"/>
  <c r="EK241" i="1"/>
  <c r="DT241" i="1"/>
  <c r="DS241" i="1"/>
  <c r="DH241" i="1"/>
  <c r="DG241" i="1"/>
  <c r="DA241" i="1"/>
  <c r="CX241" i="1"/>
  <c r="CW241" i="1"/>
  <c r="CS241" i="1"/>
  <c r="CQ241" i="1"/>
  <c r="CL241" i="1"/>
  <c r="DB241" i="1" s="1"/>
  <c r="CH241" i="1"/>
  <c r="CG241" i="1"/>
  <c r="BX241" i="1"/>
  <c r="BX248" i="1" s="1"/>
  <c r="BT241" i="1"/>
  <c r="BS241" i="1"/>
  <c r="BG241" i="1"/>
  <c r="BF241" i="1"/>
  <c r="AF241" i="1"/>
  <c r="AB241" i="1"/>
  <c r="W241" i="1"/>
  <c r="V241" i="1"/>
  <c r="Q241" i="1"/>
  <c r="M241" i="1"/>
  <c r="FA240" i="1"/>
  <c r="EL239" i="1"/>
  <c r="EK239" i="1"/>
  <c r="DT239" i="1"/>
  <c r="DS239" i="1"/>
  <c r="DH239" i="1"/>
  <c r="DG239" i="1"/>
  <c r="CX239" i="1"/>
  <c r="DB239" i="1" s="1"/>
  <c r="CW239" i="1"/>
  <c r="DA239" i="1" s="1"/>
  <c r="CR239" i="1"/>
  <c r="CT239" i="1" s="1"/>
  <c r="CQ239" i="1"/>
  <c r="CS239" i="1" s="1"/>
  <c r="CH239" i="1"/>
  <c r="CG239" i="1"/>
  <c r="BT239" i="1"/>
  <c r="BS239" i="1"/>
  <c r="BG239" i="1"/>
  <c r="BF239" i="1"/>
  <c r="AF239" i="1"/>
  <c r="AB239" i="1"/>
  <c r="W239" i="1"/>
  <c r="V239" i="1"/>
  <c r="Q239" i="1"/>
  <c r="M239" i="1"/>
  <c r="EZ238" i="1"/>
  <c r="EY238" i="1"/>
  <c r="EX238" i="1"/>
  <c r="EW238" i="1"/>
  <c r="ET238" i="1"/>
  <c r="ES238" i="1"/>
  <c r="ER238" i="1"/>
  <c r="EQ238" i="1"/>
  <c r="EP238" i="1"/>
  <c r="EO238" i="1"/>
  <c r="EF238" i="1"/>
  <c r="EE238" i="1"/>
  <c r="EB238" i="1"/>
  <c r="EA238" i="1"/>
  <c r="DX238" i="1"/>
  <c r="DW238" i="1"/>
  <c r="DP238" i="1"/>
  <c r="DO238" i="1"/>
  <c r="DL238" i="1"/>
  <c r="DK238" i="1"/>
  <c r="DD238" i="1"/>
  <c r="DC238" i="1"/>
  <c r="CZ238" i="1"/>
  <c r="CY238" i="1"/>
  <c r="CP238" i="1"/>
  <c r="CO238" i="1"/>
  <c r="CN238" i="1"/>
  <c r="CM238" i="1"/>
  <c r="CK238" i="1"/>
  <c r="CJ238" i="1"/>
  <c r="CI238" i="1"/>
  <c r="CF238" i="1"/>
  <c r="CE238" i="1"/>
  <c r="CD238" i="1"/>
  <c r="CC238" i="1"/>
  <c r="CB238" i="1"/>
  <c r="CA238" i="1"/>
  <c r="BZ238" i="1"/>
  <c r="BY238" i="1"/>
  <c r="BX238" i="1"/>
  <c r="BW238" i="1"/>
  <c r="BP238" i="1"/>
  <c r="BO238" i="1"/>
  <c r="BK238" i="1"/>
  <c r="BJ238" i="1"/>
  <c r="BI238" i="1"/>
  <c r="BH238" i="1"/>
  <c r="BC238" i="1"/>
  <c r="BB238" i="1"/>
  <c r="AX238" i="1"/>
  <c r="AW238" i="1"/>
  <c r="AT238" i="1"/>
  <c r="AS238" i="1"/>
  <c r="AP238" i="1"/>
  <c r="AO238" i="1"/>
  <c r="AL238" i="1"/>
  <c r="AK238" i="1"/>
  <c r="AA238" i="1"/>
  <c r="Z238" i="1"/>
  <c r="U238" i="1"/>
  <c r="T238" i="1"/>
  <c r="S238" i="1"/>
  <c r="P238" i="1"/>
  <c r="O238" i="1"/>
  <c r="N238" i="1"/>
  <c r="L238" i="1"/>
  <c r="K238" i="1"/>
  <c r="J238" i="1"/>
  <c r="EL237" i="1"/>
  <c r="EK237" i="1"/>
  <c r="DT237" i="1"/>
  <c r="DS237" i="1"/>
  <c r="CR237" i="1"/>
  <c r="CQ237" i="1"/>
  <c r="CH237" i="1"/>
  <c r="CG237" i="1"/>
  <c r="BT237" i="1"/>
  <c r="BS237" i="1"/>
  <c r="BG237" i="1"/>
  <c r="BF237" i="1"/>
  <c r="AF237" i="1"/>
  <c r="AB237" i="1"/>
  <c r="W237" i="1"/>
  <c r="Y237" i="1" s="1"/>
  <c r="AE237" i="1" s="1"/>
  <c r="V237" i="1"/>
  <c r="Q237" i="1"/>
  <c r="M237" i="1"/>
  <c r="EL236" i="1"/>
  <c r="EK236" i="1"/>
  <c r="DT236" i="1"/>
  <c r="DS236" i="1"/>
  <c r="DS238" i="1" s="1"/>
  <c r="CQ236" i="1"/>
  <c r="CL236" i="1"/>
  <c r="CH236" i="1"/>
  <c r="CH238" i="1" s="1"/>
  <c r="CG236" i="1"/>
  <c r="BT236" i="1"/>
  <c r="BS236" i="1"/>
  <c r="BG236" i="1"/>
  <c r="BF236" i="1"/>
  <c r="AF236" i="1"/>
  <c r="AB236" i="1"/>
  <c r="W236" i="1"/>
  <c r="Y236" i="1" s="1"/>
  <c r="Y238" i="1" s="1"/>
  <c r="V236" i="1"/>
  <c r="Q236" i="1"/>
  <c r="M236" i="1"/>
  <c r="EZ235" i="1"/>
  <c r="EY235" i="1"/>
  <c r="EX235" i="1"/>
  <c r="EW235" i="1"/>
  <c r="ET235" i="1"/>
  <c r="ES235" i="1"/>
  <c r="ER235" i="1"/>
  <c r="EQ235" i="1"/>
  <c r="EP235" i="1"/>
  <c r="EO235" i="1"/>
  <c r="EF235" i="1"/>
  <c r="EE235" i="1"/>
  <c r="EB235" i="1"/>
  <c r="EA235" i="1"/>
  <c r="DX235" i="1"/>
  <c r="DW235" i="1"/>
  <c r="DP235" i="1"/>
  <c r="DO235" i="1"/>
  <c r="DL235" i="1"/>
  <c r="DK235" i="1"/>
  <c r="DD235" i="1"/>
  <c r="DC235" i="1"/>
  <c r="CZ235" i="1"/>
  <c r="CY235" i="1"/>
  <c r="CP235" i="1"/>
  <c r="CO235" i="1"/>
  <c r="CN235" i="1"/>
  <c r="CM235" i="1"/>
  <c r="CK235" i="1"/>
  <c r="CJ235" i="1"/>
  <c r="CI235" i="1"/>
  <c r="CF235" i="1"/>
  <c r="CE235" i="1"/>
  <c r="CD235" i="1"/>
  <c r="CC235" i="1"/>
  <c r="CB235" i="1"/>
  <c r="CA235" i="1"/>
  <c r="BZ235" i="1"/>
  <c r="BY235" i="1"/>
  <c r="BX235" i="1"/>
  <c r="BW235" i="1"/>
  <c r="BP235" i="1"/>
  <c r="BO235" i="1"/>
  <c r="BK235" i="1"/>
  <c r="BJ235" i="1"/>
  <c r="BI235" i="1"/>
  <c r="BH235" i="1"/>
  <c r="BC235" i="1"/>
  <c r="BB235" i="1"/>
  <c r="AX235" i="1"/>
  <c r="AW235" i="1"/>
  <c r="AT235" i="1"/>
  <c r="AS235" i="1"/>
  <c r="AP235" i="1"/>
  <c r="AO235" i="1"/>
  <c r="AL235" i="1"/>
  <c r="AK235" i="1"/>
  <c r="AA235" i="1"/>
  <c r="Z235" i="1"/>
  <c r="U235" i="1"/>
  <c r="T235" i="1"/>
  <c r="S235" i="1"/>
  <c r="P235" i="1"/>
  <c r="O235" i="1"/>
  <c r="N235" i="1"/>
  <c r="L235" i="1"/>
  <c r="K235" i="1"/>
  <c r="J235" i="1"/>
  <c r="EL234" i="1"/>
  <c r="EK234" i="1"/>
  <c r="DT234" i="1"/>
  <c r="DS234" i="1"/>
  <c r="CR234" i="1"/>
  <c r="CT234" i="1" s="1"/>
  <c r="CQ234" i="1"/>
  <c r="CS234" i="1" s="1"/>
  <c r="CH234" i="1"/>
  <c r="CG234" i="1"/>
  <c r="BT234" i="1"/>
  <c r="BS234" i="1"/>
  <c r="BG234" i="1"/>
  <c r="BF234" i="1"/>
  <c r="AF234" i="1"/>
  <c r="AB234" i="1"/>
  <c r="W234" i="1"/>
  <c r="V234" i="1"/>
  <c r="Q234" i="1"/>
  <c r="M234" i="1"/>
  <c r="EL233" i="1"/>
  <c r="EK233" i="1"/>
  <c r="DT233" i="1"/>
  <c r="DS233" i="1"/>
  <c r="CQ233" i="1"/>
  <c r="CL233" i="1"/>
  <c r="CR233" i="1" s="1"/>
  <c r="CR235" i="1" s="1"/>
  <c r="CH233" i="1"/>
  <c r="CG233" i="1"/>
  <c r="BT233" i="1"/>
  <c r="BS233" i="1"/>
  <c r="BG233" i="1"/>
  <c r="BF233" i="1"/>
  <c r="AF233" i="1"/>
  <c r="AB233" i="1"/>
  <c r="W233" i="1"/>
  <c r="Y233" i="1" s="1"/>
  <c r="AE233" i="1" s="1"/>
  <c r="AJ233" i="1" s="1"/>
  <c r="V233" i="1"/>
  <c r="Q233" i="1"/>
  <c r="M233" i="1"/>
  <c r="EL232" i="1"/>
  <c r="EK232" i="1"/>
  <c r="DT232" i="1"/>
  <c r="DS232" i="1"/>
  <c r="DH232" i="1"/>
  <c r="DG232" i="1"/>
  <c r="CX232" i="1"/>
  <c r="CW232" i="1"/>
  <c r="DA232" i="1" s="1"/>
  <c r="DE232" i="1" s="1"/>
  <c r="CQ232" i="1"/>
  <c r="CS232" i="1" s="1"/>
  <c r="CL232" i="1"/>
  <c r="CR232" i="1" s="1"/>
  <c r="CT232" i="1" s="1"/>
  <c r="CH232" i="1"/>
  <c r="CG232" i="1"/>
  <c r="BX232" i="1"/>
  <c r="BT232" i="1"/>
  <c r="BS232" i="1"/>
  <c r="BG232" i="1"/>
  <c r="BF232" i="1"/>
  <c r="AF232" i="1"/>
  <c r="AB232" i="1"/>
  <c r="W232" i="1"/>
  <c r="Y232" i="1" s="1"/>
  <c r="AE232" i="1" s="1"/>
  <c r="AJ232" i="1" s="1"/>
  <c r="V232" i="1"/>
  <c r="Q232" i="1"/>
  <c r="R232" i="1" s="1"/>
  <c r="M232" i="1"/>
  <c r="EL231" i="1"/>
  <c r="EK231" i="1"/>
  <c r="DT231" i="1"/>
  <c r="DS231" i="1"/>
  <c r="CN231" i="1"/>
  <c r="CL231" i="1"/>
  <c r="CR231" i="1" s="1"/>
  <c r="CT231" i="1" s="1"/>
  <c r="CK231" i="1"/>
  <c r="CQ231" i="1" s="1"/>
  <c r="CH231" i="1"/>
  <c r="CG231" i="1"/>
  <c r="BT231" i="1"/>
  <c r="BS231" i="1"/>
  <c r="BG231" i="1"/>
  <c r="BF231" i="1"/>
  <c r="AF231" i="1"/>
  <c r="AB231" i="1"/>
  <c r="W231" i="1"/>
  <c r="Y231" i="1" s="1"/>
  <c r="AE231" i="1" s="1"/>
  <c r="V231" i="1"/>
  <c r="Q231" i="1"/>
  <c r="R231" i="1" s="1"/>
  <c r="X231" i="1" s="1"/>
  <c r="AD231" i="1" s="1"/>
  <c r="M231" i="1"/>
  <c r="EL230" i="1"/>
  <c r="EK230" i="1"/>
  <c r="DT230" i="1"/>
  <c r="DS230" i="1"/>
  <c r="DH230" i="1"/>
  <c r="DG230" i="1"/>
  <c r="CX230" i="1"/>
  <c r="CW230" i="1"/>
  <c r="DA230" i="1" s="1"/>
  <c r="DE230" i="1" s="1"/>
  <c r="CQ230" i="1"/>
  <c r="CS230" i="1" s="1"/>
  <c r="CL230" i="1"/>
  <c r="CR230" i="1" s="1"/>
  <c r="CT230" i="1" s="1"/>
  <c r="CH230" i="1"/>
  <c r="CG230" i="1"/>
  <c r="BT230" i="1"/>
  <c r="BS230" i="1"/>
  <c r="BG230" i="1"/>
  <c r="BF230" i="1"/>
  <c r="AF230" i="1"/>
  <c r="AB230" i="1"/>
  <c r="W230" i="1"/>
  <c r="Y230" i="1" s="1"/>
  <c r="AE230" i="1" s="1"/>
  <c r="V230" i="1"/>
  <c r="Q230" i="1"/>
  <c r="M230" i="1"/>
  <c r="R230" i="1" s="1"/>
  <c r="EL229" i="1"/>
  <c r="EK229" i="1"/>
  <c r="DT229" i="1"/>
  <c r="DS229" i="1"/>
  <c r="DH229" i="1"/>
  <c r="DG229" i="1"/>
  <c r="CX229" i="1"/>
  <c r="CW229" i="1"/>
  <c r="DA229" i="1" s="1"/>
  <c r="DE229" i="1" s="1"/>
  <c r="CQ229" i="1"/>
  <c r="CS229" i="1" s="1"/>
  <c r="CL229" i="1"/>
  <c r="DB229" i="1" s="1"/>
  <c r="DF229" i="1" s="1"/>
  <c r="CH229" i="1"/>
  <c r="CG229" i="1"/>
  <c r="BT229" i="1"/>
  <c r="BS229" i="1"/>
  <c r="BG229" i="1"/>
  <c r="BF229" i="1"/>
  <c r="AX229" i="1"/>
  <c r="AF229" i="1"/>
  <c r="AB229" i="1"/>
  <c r="W229" i="1"/>
  <c r="Y229" i="1" s="1"/>
  <c r="AE229" i="1" s="1"/>
  <c r="V229" i="1"/>
  <c r="Q229" i="1"/>
  <c r="M229" i="1"/>
  <c r="EZ228" i="1"/>
  <c r="EY228" i="1"/>
  <c r="EX228" i="1"/>
  <c r="EW228" i="1"/>
  <c r="ET228" i="1"/>
  <c r="ES228" i="1"/>
  <c r="ER228" i="1"/>
  <c r="EQ228" i="1"/>
  <c r="EP228" i="1"/>
  <c r="EO228" i="1"/>
  <c r="EF228" i="1"/>
  <c r="EE228" i="1"/>
  <c r="EB228" i="1"/>
  <c r="EA228" i="1"/>
  <c r="DX228" i="1"/>
  <c r="DW228" i="1"/>
  <c r="DP228" i="1"/>
  <c r="DO228" i="1"/>
  <c r="DL228" i="1"/>
  <c r="DK228" i="1"/>
  <c r="DD228" i="1"/>
  <c r="DC228" i="1"/>
  <c r="CZ228" i="1"/>
  <c r="CY228" i="1"/>
  <c r="CP228" i="1"/>
  <c r="CO228" i="1"/>
  <c r="CN228" i="1"/>
  <c r="CM228" i="1"/>
  <c r="CL228" i="1"/>
  <c r="CK228" i="1"/>
  <c r="CJ228" i="1"/>
  <c r="CI228" i="1"/>
  <c r="CF228" i="1"/>
  <c r="CE228" i="1"/>
  <c r="CD228" i="1"/>
  <c r="CC228" i="1"/>
  <c r="CB228" i="1"/>
  <c r="CA228" i="1"/>
  <c r="BZ228" i="1"/>
  <c r="BY228" i="1"/>
  <c r="BX228" i="1"/>
  <c r="BW228" i="1"/>
  <c r="BV228" i="1"/>
  <c r="BP228" i="1"/>
  <c r="BO228" i="1"/>
  <c r="BK228" i="1"/>
  <c r="BJ228" i="1"/>
  <c r="BI228" i="1"/>
  <c r="BH228" i="1"/>
  <c r="BC228" i="1"/>
  <c r="BB228" i="1"/>
  <c r="AX228" i="1"/>
  <c r="AW228" i="1"/>
  <c r="AT228" i="1"/>
  <c r="AS228" i="1"/>
  <c r="AP228" i="1"/>
  <c r="AO228" i="1"/>
  <c r="AL228" i="1"/>
  <c r="AK228" i="1"/>
  <c r="AA228" i="1"/>
  <c r="Z228" i="1"/>
  <c r="AB228" i="1" s="1"/>
  <c r="U228" i="1"/>
  <c r="T228" i="1"/>
  <c r="S228" i="1"/>
  <c r="P228" i="1"/>
  <c r="O228" i="1"/>
  <c r="N228" i="1"/>
  <c r="L228" i="1"/>
  <c r="K228" i="1"/>
  <c r="J228" i="1"/>
  <c r="EL227" i="1"/>
  <c r="EK227" i="1"/>
  <c r="DT227" i="1"/>
  <c r="DS227" i="1"/>
  <c r="CR227" i="1"/>
  <c r="CQ227" i="1"/>
  <c r="CH227" i="1"/>
  <c r="CG227" i="1"/>
  <c r="BT227" i="1"/>
  <c r="BS227" i="1"/>
  <c r="BG227" i="1"/>
  <c r="BF227" i="1"/>
  <c r="AF227" i="1"/>
  <c r="AB227" i="1"/>
  <c r="W227" i="1"/>
  <c r="Y227" i="1" s="1"/>
  <c r="AE227" i="1" s="1"/>
  <c r="V227" i="1"/>
  <c r="Q227" i="1"/>
  <c r="M227" i="1"/>
  <c r="EL226" i="1"/>
  <c r="EL228" i="1" s="1"/>
  <c r="EK226" i="1"/>
  <c r="DT226" i="1"/>
  <c r="DS226" i="1"/>
  <c r="DH226" i="1"/>
  <c r="DG226" i="1"/>
  <c r="CX226" i="1"/>
  <c r="DB226" i="1" s="1"/>
  <c r="CW226" i="1"/>
  <c r="DA226" i="1" s="1"/>
  <c r="DE226" i="1" s="1"/>
  <c r="CR226" i="1"/>
  <c r="CT226" i="1" s="1"/>
  <c r="CQ226" i="1"/>
  <c r="CH226" i="1"/>
  <c r="CG226" i="1"/>
  <c r="BT226" i="1"/>
  <c r="BS226" i="1"/>
  <c r="BG226" i="1"/>
  <c r="BF226" i="1"/>
  <c r="BF228" i="1" s="1"/>
  <c r="AF226" i="1"/>
  <c r="AB226" i="1"/>
  <c r="W226" i="1"/>
  <c r="Y226" i="1" s="1"/>
  <c r="V226" i="1"/>
  <c r="Q226" i="1"/>
  <c r="M226" i="1"/>
  <c r="FC225" i="1"/>
  <c r="FB225" i="1"/>
  <c r="FA225" i="1"/>
  <c r="EZ225" i="1"/>
  <c r="EY225" i="1"/>
  <c r="EX225" i="1"/>
  <c r="EW225" i="1"/>
  <c r="ET225" i="1"/>
  <c r="ES225" i="1"/>
  <c r="ER225" i="1"/>
  <c r="EQ225" i="1"/>
  <c r="EP225" i="1"/>
  <c r="EO225" i="1"/>
  <c r="EF225" i="1"/>
  <c r="EE225" i="1"/>
  <c r="EB225" i="1"/>
  <c r="EA225" i="1"/>
  <c r="DX225" i="1"/>
  <c r="DW225" i="1"/>
  <c r="DP225" i="1"/>
  <c r="DO225" i="1"/>
  <c r="DL225" i="1"/>
  <c r="DK225" i="1"/>
  <c r="DD225" i="1"/>
  <c r="DC225" i="1"/>
  <c r="CZ225" i="1"/>
  <c r="CY225" i="1"/>
  <c r="CV225" i="1"/>
  <c r="CU225" i="1"/>
  <c r="CP225" i="1"/>
  <c r="CO225" i="1"/>
  <c r="CN225" i="1"/>
  <c r="CM225" i="1"/>
  <c r="CL225" i="1"/>
  <c r="CK225" i="1"/>
  <c r="CJ225" i="1"/>
  <c r="CI225" i="1"/>
  <c r="CF225" i="1"/>
  <c r="CE225" i="1"/>
  <c r="CD225" i="1"/>
  <c r="CC225" i="1"/>
  <c r="CB225" i="1"/>
  <c r="CA225" i="1"/>
  <c r="BZ225" i="1"/>
  <c r="BY225" i="1"/>
  <c r="BX225" i="1"/>
  <c r="BW225" i="1"/>
  <c r="BV225" i="1"/>
  <c r="BO225" i="1"/>
  <c r="BK225" i="1"/>
  <c r="BJ225" i="1"/>
  <c r="BI225" i="1"/>
  <c r="BH225" i="1"/>
  <c r="BC225" i="1"/>
  <c r="BB225" i="1"/>
  <c r="AX225" i="1"/>
  <c r="AW225" i="1"/>
  <c r="AT225" i="1"/>
  <c r="AS225" i="1"/>
  <c r="AP225" i="1"/>
  <c r="AO225" i="1"/>
  <c r="AL225" i="1"/>
  <c r="AK225" i="1"/>
  <c r="AE225" i="1"/>
  <c r="AD225" i="1"/>
  <c r="AA225" i="1"/>
  <c r="Z225" i="1"/>
  <c r="AB225" i="1" s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EL224" i="1"/>
  <c r="EL225" i="1" s="1"/>
  <c r="EK224" i="1"/>
  <c r="EK225" i="1" s="1"/>
  <c r="DT224" i="1"/>
  <c r="DT225" i="1" s="1"/>
  <c r="DS224" i="1"/>
  <c r="DS225" i="1" s="1"/>
  <c r="DH224" i="1"/>
  <c r="DH225" i="1" s="1"/>
  <c r="DG224" i="1"/>
  <c r="DG225" i="1" s="1"/>
  <c r="CX224" i="1"/>
  <c r="CX225" i="1" s="1"/>
  <c r="CW224" i="1"/>
  <c r="CR224" i="1"/>
  <c r="CQ224" i="1"/>
  <c r="CH224" i="1"/>
  <c r="CH225" i="1" s="1"/>
  <c r="CG224" i="1"/>
  <c r="CG225" i="1" s="1"/>
  <c r="BS224" i="1"/>
  <c r="BS225" i="1" s="1"/>
  <c r="BG224" i="1"/>
  <c r="BG225" i="1" s="1"/>
  <c r="BF224" i="1"/>
  <c r="BF225" i="1" s="1"/>
  <c r="AV224" i="1"/>
  <c r="AV225" i="1" s="1"/>
  <c r="AU224" i="1"/>
  <c r="AU225" i="1" s="1"/>
  <c r="AN224" i="1"/>
  <c r="AN225" i="1" s="1"/>
  <c r="AM224" i="1"/>
  <c r="AJ224" i="1"/>
  <c r="AJ225" i="1" s="1"/>
  <c r="AI224" i="1"/>
  <c r="AI225" i="1" s="1"/>
  <c r="AH224" i="1"/>
  <c r="AH225" i="1" s="1"/>
  <c r="AG224" i="1"/>
  <c r="AG225" i="1" s="1"/>
  <c r="AF224" i="1"/>
  <c r="AF225" i="1" s="1"/>
  <c r="AB224" i="1"/>
  <c r="AC224" i="1" s="1"/>
  <c r="X224" i="1"/>
  <c r="X225" i="1" s="1"/>
  <c r="W224" i="1"/>
  <c r="EL222" i="1"/>
  <c r="EK222" i="1"/>
  <c r="DT222" i="1"/>
  <c r="DS222" i="1"/>
  <c r="DH222" i="1"/>
  <c r="DG222" i="1"/>
  <c r="CX222" i="1"/>
  <c r="CW222" i="1"/>
  <c r="DA222" i="1" s="1"/>
  <c r="DE222" i="1" s="1"/>
  <c r="CR222" i="1"/>
  <c r="CQ222" i="1"/>
  <c r="CS222" i="1" s="1"/>
  <c r="CH222" i="1"/>
  <c r="CG222" i="1"/>
  <c r="BT222" i="1"/>
  <c r="BS222" i="1"/>
  <c r="BG222" i="1"/>
  <c r="BF222" i="1"/>
  <c r="AF222" i="1"/>
  <c r="AB222" i="1"/>
  <c r="W222" i="1"/>
  <c r="V222" i="1"/>
  <c r="Q222" i="1"/>
  <c r="M222" i="1"/>
  <c r="FE221" i="1"/>
  <c r="FD221" i="1"/>
  <c r="FC221" i="1"/>
  <c r="FB221" i="1"/>
  <c r="FA221" i="1"/>
  <c r="EZ221" i="1"/>
  <c r="EY221" i="1"/>
  <c r="EX221" i="1"/>
  <c r="EW221" i="1"/>
  <c r="ET221" i="1"/>
  <c r="ES221" i="1"/>
  <c r="ER221" i="1"/>
  <c r="EQ221" i="1"/>
  <c r="EP221" i="1"/>
  <c r="EO221" i="1"/>
  <c r="EF221" i="1"/>
  <c r="EE221" i="1"/>
  <c r="EB221" i="1"/>
  <c r="EA221" i="1"/>
  <c r="DX221" i="1"/>
  <c r="DW221" i="1"/>
  <c r="DP221" i="1"/>
  <c r="DO221" i="1"/>
  <c r="DL221" i="1"/>
  <c r="DK221" i="1"/>
  <c r="DD221" i="1"/>
  <c r="DC221" i="1"/>
  <c r="CZ221" i="1"/>
  <c r="CY221" i="1"/>
  <c r="CU221" i="1"/>
  <c r="CP221" i="1"/>
  <c r="CO221" i="1"/>
  <c r="CN221" i="1"/>
  <c r="CM221" i="1"/>
  <c r="CL221" i="1"/>
  <c r="CJ221" i="1"/>
  <c r="CI221" i="1"/>
  <c r="CF221" i="1"/>
  <c r="CE221" i="1"/>
  <c r="CD221" i="1"/>
  <c r="CC221" i="1"/>
  <c r="CB221" i="1"/>
  <c r="CA221" i="1"/>
  <c r="BZ221" i="1"/>
  <c r="BY221" i="1"/>
  <c r="BX221" i="1"/>
  <c r="BP221" i="1"/>
  <c r="BO221" i="1"/>
  <c r="BK221" i="1"/>
  <c r="BJ221" i="1"/>
  <c r="BI221" i="1"/>
  <c r="BH221" i="1"/>
  <c r="BC221" i="1"/>
  <c r="BB221" i="1"/>
  <c r="AX221" i="1"/>
  <c r="AW221" i="1"/>
  <c r="AT221" i="1"/>
  <c r="AS221" i="1"/>
  <c r="AP221" i="1"/>
  <c r="AO221" i="1"/>
  <c r="AK221" i="1"/>
  <c r="AA221" i="1"/>
  <c r="Z221" i="1"/>
  <c r="U221" i="1"/>
  <c r="T221" i="1"/>
  <c r="S221" i="1"/>
  <c r="P221" i="1"/>
  <c r="O221" i="1"/>
  <c r="N221" i="1"/>
  <c r="L221" i="1"/>
  <c r="K221" i="1"/>
  <c r="J221" i="1"/>
  <c r="EL220" i="1"/>
  <c r="EK220" i="1"/>
  <c r="DT220" i="1"/>
  <c r="DS220" i="1"/>
  <c r="DG220" i="1"/>
  <c r="CW220" i="1"/>
  <c r="DA220" i="1" s="1"/>
  <c r="DE220" i="1" s="1"/>
  <c r="DI220" i="1" s="1"/>
  <c r="DM220" i="1" s="1"/>
  <c r="DQ220" i="1" s="1"/>
  <c r="DU220" i="1" s="1"/>
  <c r="DY220" i="1" s="1"/>
  <c r="EC220" i="1" s="1"/>
  <c r="CR220" i="1"/>
  <c r="CQ220" i="1"/>
  <c r="CS220" i="1" s="1"/>
  <c r="CH220" i="1"/>
  <c r="CG220" i="1"/>
  <c r="BT220" i="1"/>
  <c r="BS220" i="1"/>
  <c r="BG220" i="1"/>
  <c r="BF220" i="1"/>
  <c r="AF220" i="1"/>
  <c r="AB220" i="1"/>
  <c r="W220" i="1"/>
  <c r="Y220" i="1" s="1"/>
  <c r="AE220" i="1" s="1"/>
  <c r="AN220" i="1" s="1"/>
  <c r="V220" i="1"/>
  <c r="Q220" i="1"/>
  <c r="M220" i="1"/>
  <c r="EL219" i="1"/>
  <c r="EK219" i="1"/>
  <c r="DT219" i="1"/>
  <c r="DS219" i="1"/>
  <c r="DG219" i="1"/>
  <c r="CW219" i="1"/>
  <c r="CR219" i="1"/>
  <c r="CT219" i="1" s="1"/>
  <c r="CV219" i="1" s="1"/>
  <c r="CK219" i="1"/>
  <c r="CH219" i="1"/>
  <c r="CG219" i="1"/>
  <c r="BW219" i="1"/>
  <c r="BT219" i="1"/>
  <c r="BS219" i="1"/>
  <c r="BG219" i="1"/>
  <c r="BF219" i="1"/>
  <c r="AF219" i="1"/>
  <c r="AB219" i="1"/>
  <c r="W219" i="1"/>
  <c r="Y219" i="1" s="1"/>
  <c r="AE219" i="1" s="1"/>
  <c r="V219" i="1"/>
  <c r="Q219" i="1"/>
  <c r="M219" i="1"/>
  <c r="EL218" i="1"/>
  <c r="EL221" i="1" s="1"/>
  <c r="EK218" i="1"/>
  <c r="DT218" i="1"/>
  <c r="DS218" i="1"/>
  <c r="DG218" i="1"/>
  <c r="DB218" i="1"/>
  <c r="DF218" i="1" s="1"/>
  <c r="CW218" i="1"/>
  <c r="CW221" i="1" s="1"/>
  <c r="CR218" i="1"/>
  <c r="CT218" i="1" s="1"/>
  <c r="CV218" i="1" s="1"/>
  <c r="CQ218" i="1"/>
  <c r="CS218" i="1" s="1"/>
  <c r="CH218" i="1"/>
  <c r="CG218" i="1"/>
  <c r="BW218" i="1"/>
  <c r="BT218" i="1"/>
  <c r="BS218" i="1"/>
  <c r="BG218" i="1"/>
  <c r="BF218" i="1"/>
  <c r="BF221" i="1" s="1"/>
  <c r="AL218" i="1"/>
  <c r="AL221" i="1" s="1"/>
  <c r="AF218" i="1"/>
  <c r="AB218" i="1"/>
  <c r="W218" i="1"/>
  <c r="V218" i="1"/>
  <c r="Q218" i="1"/>
  <c r="M218" i="1"/>
  <c r="FE217" i="1"/>
  <c r="FD217" i="1"/>
  <c r="FC217" i="1"/>
  <c r="FB217" i="1"/>
  <c r="FA217" i="1"/>
  <c r="EZ217" i="1"/>
  <c r="EY217" i="1"/>
  <c r="EX217" i="1"/>
  <c r="EW217" i="1"/>
  <c r="ET217" i="1"/>
  <c r="ES217" i="1"/>
  <c r="ER217" i="1"/>
  <c r="EQ217" i="1"/>
  <c r="EP217" i="1"/>
  <c r="EO217" i="1"/>
  <c r="EF217" i="1"/>
  <c r="EE217" i="1"/>
  <c r="EB217" i="1"/>
  <c r="EA217" i="1"/>
  <c r="DX217" i="1"/>
  <c r="DW217" i="1"/>
  <c r="DP217" i="1"/>
  <c r="DO217" i="1"/>
  <c r="DL217" i="1"/>
  <c r="DK217" i="1"/>
  <c r="DD217" i="1"/>
  <c r="DC217" i="1"/>
  <c r="CZ217" i="1"/>
  <c r="CY217" i="1"/>
  <c r="CP217" i="1"/>
  <c r="CO217" i="1"/>
  <c r="CN217" i="1"/>
  <c r="CM217" i="1"/>
  <c r="CL217" i="1"/>
  <c r="CK217" i="1"/>
  <c r="CJ217" i="1"/>
  <c r="CI217" i="1"/>
  <c r="CF217" i="1"/>
  <c r="CE217" i="1"/>
  <c r="CD217" i="1"/>
  <c r="CC217" i="1"/>
  <c r="CB217" i="1"/>
  <c r="CA217" i="1"/>
  <c r="BZ217" i="1"/>
  <c r="BY217" i="1"/>
  <c r="BX217" i="1"/>
  <c r="BW217" i="1"/>
  <c r="BP217" i="1"/>
  <c r="BO217" i="1"/>
  <c r="BK217" i="1"/>
  <c r="BJ217" i="1"/>
  <c r="BI217" i="1"/>
  <c r="BH217" i="1"/>
  <c r="BC217" i="1"/>
  <c r="BB217" i="1"/>
  <c r="AX217" i="1"/>
  <c r="AW217" i="1"/>
  <c r="AT217" i="1"/>
  <c r="AS217" i="1"/>
  <c r="AP217" i="1"/>
  <c r="AO217" i="1"/>
  <c r="AL217" i="1"/>
  <c r="AK217" i="1"/>
  <c r="AA217" i="1"/>
  <c r="Z217" i="1"/>
  <c r="AB217" i="1" s="1"/>
  <c r="U217" i="1"/>
  <c r="T217" i="1"/>
  <c r="S217" i="1"/>
  <c r="P217" i="1"/>
  <c r="O217" i="1"/>
  <c r="N217" i="1"/>
  <c r="L217" i="1"/>
  <c r="K217" i="1"/>
  <c r="J217" i="1"/>
  <c r="EL216" i="1"/>
  <c r="EK216" i="1"/>
  <c r="DT216" i="1"/>
  <c r="DS216" i="1"/>
  <c r="CR216" i="1"/>
  <c r="CQ216" i="1"/>
  <c r="CS216" i="1" s="1"/>
  <c r="CH216" i="1"/>
  <c r="CG216" i="1"/>
  <c r="BT216" i="1"/>
  <c r="BS216" i="1"/>
  <c r="BG216" i="1"/>
  <c r="BF216" i="1"/>
  <c r="AF216" i="1"/>
  <c r="AB216" i="1"/>
  <c r="W216" i="1"/>
  <c r="Y216" i="1" s="1"/>
  <c r="AE216" i="1" s="1"/>
  <c r="V216" i="1"/>
  <c r="Q216" i="1"/>
  <c r="M216" i="1"/>
  <c r="EL215" i="1"/>
  <c r="EL217" i="1" s="1"/>
  <c r="EK215" i="1"/>
  <c r="DT215" i="1"/>
  <c r="DS215" i="1"/>
  <c r="CR215" i="1"/>
  <c r="CR217" i="1" s="1"/>
  <c r="CQ215" i="1"/>
  <c r="CH215" i="1"/>
  <c r="CH217" i="1" s="1"/>
  <c r="CG215" i="1"/>
  <c r="BT215" i="1"/>
  <c r="BS215" i="1"/>
  <c r="BG215" i="1"/>
  <c r="BF215" i="1"/>
  <c r="AF215" i="1"/>
  <c r="AF217" i="1" s="1"/>
  <c r="AB215" i="1"/>
  <c r="W215" i="1"/>
  <c r="Y215" i="1" s="1"/>
  <c r="AE215" i="1" s="1"/>
  <c r="V215" i="1"/>
  <c r="V217" i="1" s="1"/>
  <c r="Q215" i="1"/>
  <c r="M215" i="1"/>
  <c r="EL214" i="1"/>
  <c r="EK214" i="1"/>
  <c r="DT214" i="1"/>
  <c r="DS214" i="1"/>
  <c r="CR214" i="1"/>
  <c r="CT214" i="1" s="1"/>
  <c r="CQ214" i="1"/>
  <c r="CH214" i="1"/>
  <c r="CG214" i="1"/>
  <c r="BT214" i="1"/>
  <c r="BS214" i="1"/>
  <c r="BG214" i="1"/>
  <c r="BF214" i="1"/>
  <c r="AF214" i="1"/>
  <c r="AB214" i="1"/>
  <c r="W214" i="1"/>
  <c r="Y214" i="1" s="1"/>
  <c r="AE214" i="1" s="1"/>
  <c r="AH214" i="1" s="1"/>
  <c r="V214" i="1"/>
  <c r="Q214" i="1"/>
  <c r="M214" i="1"/>
  <c r="FC213" i="1"/>
  <c r="FB213" i="1"/>
  <c r="FA213" i="1"/>
  <c r="EZ213" i="1"/>
  <c r="EY213" i="1"/>
  <c r="EX213" i="1"/>
  <c r="EW213" i="1"/>
  <c r="ET213" i="1"/>
  <c r="ES213" i="1"/>
  <c r="EQ213" i="1"/>
  <c r="EP213" i="1"/>
  <c r="EO213" i="1"/>
  <c r="EF213" i="1"/>
  <c r="EE213" i="1"/>
  <c r="EB213" i="1"/>
  <c r="EA213" i="1"/>
  <c r="DX213" i="1"/>
  <c r="DW213" i="1"/>
  <c r="DP213" i="1"/>
  <c r="DO213" i="1"/>
  <c r="DL213" i="1"/>
  <c r="DK213" i="1"/>
  <c r="DD213" i="1"/>
  <c r="DC213" i="1"/>
  <c r="CZ213" i="1"/>
  <c r="CY213" i="1"/>
  <c r="CP213" i="1"/>
  <c r="CO213" i="1"/>
  <c r="CN213" i="1"/>
  <c r="CM213" i="1"/>
  <c r="CJ213" i="1"/>
  <c r="CI213" i="1"/>
  <c r="CF213" i="1"/>
  <c r="CE213" i="1"/>
  <c r="CD213" i="1"/>
  <c r="CC213" i="1"/>
  <c r="CB213" i="1"/>
  <c r="CA213" i="1"/>
  <c r="BZ213" i="1"/>
  <c r="BY213" i="1"/>
  <c r="BX213" i="1"/>
  <c r="BV213" i="1"/>
  <c r="BP213" i="1"/>
  <c r="BO213" i="1"/>
  <c r="BK213" i="1"/>
  <c r="BJ213" i="1"/>
  <c r="BI213" i="1"/>
  <c r="BH213" i="1"/>
  <c r="BC213" i="1"/>
  <c r="BB213" i="1"/>
  <c r="AX213" i="1"/>
  <c r="AW213" i="1"/>
  <c r="AT213" i="1"/>
  <c r="AS213" i="1"/>
  <c r="AP213" i="1"/>
  <c r="AO213" i="1"/>
  <c r="AL213" i="1"/>
  <c r="AK213" i="1"/>
  <c r="AA213" i="1"/>
  <c r="Z213" i="1"/>
  <c r="U213" i="1"/>
  <c r="T213" i="1"/>
  <c r="S213" i="1"/>
  <c r="P213" i="1"/>
  <c r="O213" i="1"/>
  <c r="N213" i="1"/>
  <c r="L213" i="1"/>
  <c r="K213" i="1"/>
  <c r="J213" i="1"/>
  <c r="EL212" i="1"/>
  <c r="EK212" i="1"/>
  <c r="DT212" i="1"/>
  <c r="DS212" i="1"/>
  <c r="CR212" i="1"/>
  <c r="CQ212" i="1"/>
  <c r="CS212" i="1" s="1"/>
  <c r="CH212" i="1"/>
  <c r="CG212" i="1"/>
  <c r="BT212" i="1"/>
  <c r="BS212" i="1"/>
  <c r="BG212" i="1"/>
  <c r="BF212" i="1"/>
  <c r="AF212" i="1"/>
  <c r="AB212" i="1"/>
  <c r="W212" i="1"/>
  <c r="Y212" i="1" s="1"/>
  <c r="AE212" i="1" s="1"/>
  <c r="AJ212" i="1" s="1"/>
  <c r="V212" i="1"/>
  <c r="Q212" i="1"/>
  <c r="M212" i="1"/>
  <c r="EL211" i="1"/>
  <c r="EK211" i="1"/>
  <c r="DT211" i="1"/>
  <c r="DS211" i="1"/>
  <c r="CR211" i="1"/>
  <c r="CT211" i="1" s="1"/>
  <c r="CQ211" i="1"/>
  <c r="CH211" i="1"/>
  <c r="CG211" i="1"/>
  <c r="BW211" i="1"/>
  <c r="BW213" i="1" s="1"/>
  <c r="BT211" i="1"/>
  <c r="BS211" i="1"/>
  <c r="BG211" i="1"/>
  <c r="BF211" i="1"/>
  <c r="AF211" i="1"/>
  <c r="AB211" i="1"/>
  <c r="W211" i="1"/>
  <c r="Y211" i="1" s="1"/>
  <c r="AE211" i="1" s="1"/>
  <c r="AH211" i="1" s="1"/>
  <c r="V211" i="1"/>
  <c r="Q211" i="1"/>
  <c r="M211" i="1"/>
  <c r="EL210" i="1"/>
  <c r="EK210" i="1"/>
  <c r="DT210" i="1"/>
  <c r="DS210" i="1"/>
  <c r="DH210" i="1"/>
  <c r="DG210" i="1"/>
  <c r="CX210" i="1"/>
  <c r="CW210" i="1"/>
  <c r="CL210" i="1"/>
  <c r="CR210" i="1" s="1"/>
  <c r="CT210" i="1" s="1"/>
  <c r="CK210" i="1"/>
  <c r="CK213" i="1" s="1"/>
  <c r="CH210" i="1"/>
  <c r="CH213" i="1" s="1"/>
  <c r="CG210" i="1"/>
  <c r="CG213" i="1" s="1"/>
  <c r="BT210" i="1"/>
  <c r="BS210" i="1"/>
  <c r="BG210" i="1"/>
  <c r="BF210" i="1"/>
  <c r="AF210" i="1"/>
  <c r="AB210" i="1"/>
  <c r="W210" i="1"/>
  <c r="V210" i="1"/>
  <c r="Q210" i="1"/>
  <c r="M210" i="1"/>
  <c r="FE209" i="1"/>
  <c r="FD209" i="1"/>
  <c r="FC209" i="1"/>
  <c r="FB209" i="1"/>
  <c r="FA209" i="1"/>
  <c r="EZ209" i="1"/>
  <c r="EY209" i="1"/>
  <c r="EX209" i="1"/>
  <c r="EW209" i="1"/>
  <c r="ET209" i="1"/>
  <c r="ES209" i="1"/>
  <c r="EQ209" i="1"/>
  <c r="EP209" i="1"/>
  <c r="EO209" i="1"/>
  <c r="EF209" i="1"/>
  <c r="EE209" i="1"/>
  <c r="EB209" i="1"/>
  <c r="DY209" i="1"/>
  <c r="DX209" i="1"/>
  <c r="DW209" i="1"/>
  <c r="DP209" i="1"/>
  <c r="DO209" i="1"/>
  <c r="DL209" i="1"/>
  <c r="DK209" i="1"/>
  <c r="DI209" i="1"/>
  <c r="DD209" i="1"/>
  <c r="DC209" i="1"/>
  <c r="CZ209" i="1"/>
  <c r="CY209" i="1"/>
  <c r="CO209" i="1"/>
  <c r="CN209" i="1"/>
  <c r="CM209" i="1"/>
  <c r="CL209" i="1"/>
  <c r="CK209" i="1"/>
  <c r="CJ209" i="1"/>
  <c r="CI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P209" i="1"/>
  <c r="BO209" i="1"/>
  <c r="BK209" i="1"/>
  <c r="BJ209" i="1"/>
  <c r="BI209" i="1"/>
  <c r="BH209" i="1"/>
  <c r="BC209" i="1"/>
  <c r="BB209" i="1"/>
  <c r="AX209" i="1"/>
  <c r="AW209" i="1"/>
  <c r="AT209" i="1"/>
  <c r="AS209" i="1"/>
  <c r="AP209" i="1"/>
  <c r="AO209" i="1"/>
  <c r="AL209" i="1"/>
  <c r="AK209" i="1"/>
  <c r="AA209" i="1"/>
  <c r="Z209" i="1"/>
  <c r="U209" i="1"/>
  <c r="T209" i="1"/>
  <c r="S209" i="1"/>
  <c r="P209" i="1"/>
  <c r="O209" i="1"/>
  <c r="N209" i="1"/>
  <c r="L209" i="1"/>
  <c r="K209" i="1"/>
  <c r="J209" i="1"/>
  <c r="EL208" i="1"/>
  <c r="EK208" i="1"/>
  <c r="DT208" i="1"/>
  <c r="DS208" i="1"/>
  <c r="CU208" i="1"/>
  <c r="CW208" i="1" s="1"/>
  <c r="DA208" i="1" s="1"/>
  <c r="CR208" i="1"/>
  <c r="CQ208" i="1"/>
  <c r="CS208" i="1" s="1"/>
  <c r="CH208" i="1"/>
  <c r="CG208" i="1"/>
  <c r="BT208" i="1"/>
  <c r="BS208" i="1"/>
  <c r="BG208" i="1"/>
  <c r="BF208" i="1"/>
  <c r="AF208" i="1"/>
  <c r="AB208" i="1"/>
  <c r="W208" i="1"/>
  <c r="Y208" i="1" s="1"/>
  <c r="AE208" i="1" s="1"/>
  <c r="V208" i="1"/>
  <c r="Q208" i="1"/>
  <c r="M208" i="1"/>
  <c r="EL207" i="1"/>
  <c r="EK207" i="1"/>
  <c r="EA207" i="1"/>
  <c r="EA209" i="1" s="1"/>
  <c r="DT207" i="1"/>
  <c r="DS207" i="1"/>
  <c r="CR207" i="1"/>
  <c r="CR209" i="1" s="1"/>
  <c r="CQ207" i="1"/>
  <c r="CQ209" i="1" s="1"/>
  <c r="CP207" i="1"/>
  <c r="CP209" i="1" s="1"/>
  <c r="CH207" i="1"/>
  <c r="CG207" i="1"/>
  <c r="BT207" i="1"/>
  <c r="BS207" i="1"/>
  <c r="BG207" i="1"/>
  <c r="BF207" i="1"/>
  <c r="AV207" i="1"/>
  <c r="AN207" i="1"/>
  <c r="AR207" i="1" s="1"/>
  <c r="AZ207" i="1" s="1"/>
  <c r="AF207" i="1"/>
  <c r="AB207" i="1"/>
  <c r="W207" i="1"/>
  <c r="W209" i="1" s="1"/>
  <c r="V207" i="1"/>
  <c r="Q207" i="1"/>
  <c r="M207" i="1"/>
  <c r="M209" i="1" s="1"/>
  <c r="EL206" i="1"/>
  <c r="EK206" i="1"/>
  <c r="DT206" i="1"/>
  <c r="DS206" i="1"/>
  <c r="CQ206" i="1"/>
  <c r="CS206" i="1" s="1"/>
  <c r="CL206" i="1"/>
  <c r="CR206" i="1" s="1"/>
  <c r="CT206" i="1" s="1"/>
  <c r="CH206" i="1"/>
  <c r="CG206" i="1"/>
  <c r="BT206" i="1"/>
  <c r="BS206" i="1"/>
  <c r="BG206" i="1"/>
  <c r="BF206" i="1"/>
  <c r="AF206" i="1"/>
  <c r="AB206" i="1"/>
  <c r="W206" i="1"/>
  <c r="Y206" i="1" s="1"/>
  <c r="AE206" i="1" s="1"/>
  <c r="V206" i="1"/>
  <c r="Q206" i="1"/>
  <c r="R206" i="1" s="1"/>
  <c r="M206" i="1"/>
  <c r="FC205" i="1"/>
  <c r="FB205" i="1"/>
  <c r="FA205" i="1"/>
  <c r="EZ205" i="1"/>
  <c r="EY205" i="1"/>
  <c r="EX205" i="1"/>
  <c r="EW205" i="1"/>
  <c r="ET205" i="1"/>
  <c r="ES205" i="1"/>
  <c r="ER205" i="1"/>
  <c r="EQ205" i="1"/>
  <c r="EP205" i="1"/>
  <c r="EO205" i="1"/>
  <c r="EF205" i="1"/>
  <c r="EE205" i="1"/>
  <c r="EB205" i="1"/>
  <c r="EA205" i="1"/>
  <c r="DX205" i="1"/>
  <c r="DW205" i="1"/>
  <c r="DP205" i="1"/>
  <c r="DO205" i="1"/>
  <c r="DL205" i="1"/>
  <c r="DK205" i="1"/>
  <c r="DD205" i="1"/>
  <c r="DC205" i="1"/>
  <c r="CZ205" i="1"/>
  <c r="CY205" i="1"/>
  <c r="CV205" i="1"/>
  <c r="CU205" i="1"/>
  <c r="CP205" i="1"/>
  <c r="CO205" i="1"/>
  <c r="CN205" i="1"/>
  <c r="CM205" i="1"/>
  <c r="CL205" i="1"/>
  <c r="CK205" i="1"/>
  <c r="CJ205" i="1"/>
  <c r="CI205" i="1"/>
  <c r="CF205" i="1"/>
  <c r="CE205" i="1"/>
  <c r="CD205" i="1"/>
  <c r="CC205" i="1"/>
  <c r="CB205" i="1"/>
  <c r="CA205" i="1"/>
  <c r="BZ205" i="1"/>
  <c r="BY205" i="1"/>
  <c r="BX205" i="1"/>
  <c r="BW205" i="1"/>
  <c r="BV205" i="1"/>
  <c r="BP205" i="1"/>
  <c r="BO205" i="1"/>
  <c r="BK205" i="1"/>
  <c r="BJ205" i="1"/>
  <c r="BI205" i="1"/>
  <c r="BH205" i="1"/>
  <c r="BC205" i="1"/>
  <c r="BB205" i="1"/>
  <c r="AX205" i="1"/>
  <c r="AW205" i="1"/>
  <c r="AT205" i="1"/>
  <c r="AS205" i="1"/>
  <c r="AP205" i="1"/>
  <c r="AO205" i="1"/>
  <c r="AL205" i="1"/>
  <c r="AK205" i="1"/>
  <c r="AA205" i="1"/>
  <c r="Z205" i="1"/>
  <c r="U205" i="1"/>
  <c r="T205" i="1"/>
  <c r="S205" i="1"/>
  <c r="P205" i="1"/>
  <c r="O205" i="1"/>
  <c r="N205" i="1"/>
  <c r="L205" i="1"/>
  <c r="K205" i="1"/>
  <c r="J205" i="1"/>
  <c r="EL204" i="1"/>
  <c r="EK204" i="1"/>
  <c r="DT204" i="1"/>
  <c r="DS204" i="1"/>
  <c r="DH204" i="1"/>
  <c r="DG204" i="1"/>
  <c r="CX204" i="1"/>
  <c r="DB204" i="1" s="1"/>
  <c r="DF204" i="1" s="1"/>
  <c r="CW204" i="1"/>
  <c r="DA204" i="1" s="1"/>
  <c r="DE204" i="1" s="1"/>
  <c r="CR204" i="1"/>
  <c r="CT204" i="1" s="1"/>
  <c r="CQ204" i="1"/>
  <c r="CS204" i="1" s="1"/>
  <c r="CH204" i="1"/>
  <c r="CG204" i="1"/>
  <c r="BT204" i="1"/>
  <c r="BS204" i="1"/>
  <c r="BG204" i="1"/>
  <c r="BF204" i="1"/>
  <c r="AF204" i="1"/>
  <c r="AB204" i="1"/>
  <c r="W204" i="1"/>
  <c r="Y204" i="1" s="1"/>
  <c r="AE204" i="1" s="1"/>
  <c r="V204" i="1"/>
  <c r="Q204" i="1"/>
  <c r="R204" i="1" s="1"/>
  <c r="M204" i="1"/>
  <c r="EL203" i="1"/>
  <c r="EK203" i="1"/>
  <c r="DT203" i="1"/>
  <c r="DS203" i="1"/>
  <c r="DH203" i="1"/>
  <c r="DG203" i="1"/>
  <c r="CX203" i="1"/>
  <c r="DB203" i="1" s="1"/>
  <c r="DF203" i="1" s="1"/>
  <c r="CW203" i="1"/>
  <c r="DA203" i="1" s="1"/>
  <c r="DE203" i="1" s="1"/>
  <c r="CR203" i="1"/>
  <c r="CT203" i="1" s="1"/>
  <c r="CQ203" i="1"/>
  <c r="CS203" i="1" s="1"/>
  <c r="CH203" i="1"/>
  <c r="CG203" i="1"/>
  <c r="BT203" i="1"/>
  <c r="BS203" i="1"/>
  <c r="BG203" i="1"/>
  <c r="BF203" i="1"/>
  <c r="AF203" i="1"/>
  <c r="AB203" i="1"/>
  <c r="W203" i="1"/>
  <c r="Y203" i="1" s="1"/>
  <c r="AE203" i="1" s="1"/>
  <c r="AH203" i="1" s="1"/>
  <c r="V203" i="1"/>
  <c r="Q203" i="1"/>
  <c r="M203" i="1"/>
  <c r="EL202" i="1"/>
  <c r="EK202" i="1"/>
  <c r="DT202" i="1"/>
  <c r="DS202" i="1"/>
  <c r="DH202" i="1"/>
  <c r="DG202" i="1"/>
  <c r="CX202" i="1"/>
  <c r="DB202" i="1" s="1"/>
  <c r="DF202" i="1" s="1"/>
  <c r="CW202" i="1"/>
  <c r="DA202" i="1" s="1"/>
  <c r="DE202" i="1" s="1"/>
  <c r="CR202" i="1"/>
  <c r="CT202" i="1" s="1"/>
  <c r="CQ202" i="1"/>
  <c r="CS202" i="1" s="1"/>
  <c r="CH202" i="1"/>
  <c r="CG202" i="1"/>
  <c r="BT202" i="1"/>
  <c r="BS202" i="1"/>
  <c r="BG202" i="1"/>
  <c r="BF202" i="1"/>
  <c r="AF202" i="1"/>
  <c r="AB202" i="1"/>
  <c r="W202" i="1"/>
  <c r="Y202" i="1" s="1"/>
  <c r="AE202" i="1" s="1"/>
  <c r="V202" i="1"/>
  <c r="Q202" i="1"/>
  <c r="M202" i="1"/>
  <c r="EL201" i="1"/>
  <c r="EK201" i="1"/>
  <c r="DT201" i="1"/>
  <c r="DS201" i="1"/>
  <c r="DH201" i="1"/>
  <c r="DG201" i="1"/>
  <c r="CX201" i="1"/>
  <c r="DB201" i="1" s="1"/>
  <c r="DF201" i="1" s="1"/>
  <c r="CW201" i="1"/>
  <c r="DA201" i="1" s="1"/>
  <c r="DE201" i="1" s="1"/>
  <c r="DI201" i="1" s="1"/>
  <c r="DM201" i="1" s="1"/>
  <c r="DQ201" i="1" s="1"/>
  <c r="DU201" i="1" s="1"/>
  <c r="DY201" i="1" s="1"/>
  <c r="EC201" i="1" s="1"/>
  <c r="CR201" i="1"/>
  <c r="CT201" i="1" s="1"/>
  <c r="CQ201" i="1"/>
  <c r="CS201" i="1" s="1"/>
  <c r="CH201" i="1"/>
  <c r="CG201" i="1"/>
  <c r="BT201" i="1"/>
  <c r="BS201" i="1"/>
  <c r="BG201" i="1"/>
  <c r="BF201" i="1"/>
  <c r="AF201" i="1"/>
  <c r="AB201" i="1"/>
  <c r="W201" i="1"/>
  <c r="Y201" i="1" s="1"/>
  <c r="AE201" i="1" s="1"/>
  <c r="V201" i="1"/>
  <c r="Q201" i="1"/>
  <c r="M201" i="1"/>
  <c r="EL200" i="1"/>
  <c r="EK200" i="1"/>
  <c r="DT200" i="1"/>
  <c r="DS200" i="1"/>
  <c r="DH200" i="1"/>
  <c r="DG200" i="1"/>
  <c r="DA200" i="1"/>
  <c r="DE200" i="1" s="1"/>
  <c r="CX200" i="1"/>
  <c r="DB200" i="1" s="1"/>
  <c r="DF200" i="1" s="1"/>
  <c r="CW200" i="1"/>
  <c r="CR200" i="1"/>
  <c r="CT200" i="1" s="1"/>
  <c r="CQ200" i="1"/>
  <c r="CS200" i="1" s="1"/>
  <c r="CH200" i="1"/>
  <c r="CG200" i="1"/>
  <c r="BT200" i="1"/>
  <c r="BS200" i="1"/>
  <c r="BG200" i="1"/>
  <c r="BF200" i="1"/>
  <c r="AF200" i="1"/>
  <c r="AB200" i="1"/>
  <c r="W200" i="1"/>
  <c r="Y200" i="1" s="1"/>
  <c r="AE200" i="1" s="1"/>
  <c r="V200" i="1"/>
  <c r="Q200" i="1"/>
  <c r="R200" i="1" s="1"/>
  <c r="X200" i="1" s="1"/>
  <c r="AD200" i="1" s="1"/>
  <c r="M200" i="1"/>
  <c r="EL199" i="1"/>
  <c r="EK199" i="1"/>
  <c r="DT199" i="1"/>
  <c r="DS199" i="1"/>
  <c r="DH199" i="1"/>
  <c r="DG199" i="1"/>
  <c r="CX199" i="1"/>
  <c r="CW199" i="1"/>
  <c r="DA199" i="1" s="1"/>
  <c r="DE199" i="1" s="1"/>
  <c r="CR199" i="1"/>
  <c r="CQ199" i="1"/>
  <c r="CH199" i="1"/>
  <c r="CG199" i="1"/>
  <c r="BT199" i="1"/>
  <c r="BS199" i="1"/>
  <c r="BS205" i="1" s="1"/>
  <c r="BG199" i="1"/>
  <c r="BG205" i="1" s="1"/>
  <c r="BF199" i="1"/>
  <c r="AF199" i="1"/>
  <c r="AB199" i="1"/>
  <c r="W199" i="1"/>
  <c r="Y199" i="1" s="1"/>
  <c r="AE199" i="1" s="1"/>
  <c r="AJ199" i="1" s="1"/>
  <c r="V199" i="1"/>
  <c r="Q199" i="1"/>
  <c r="M199" i="1"/>
  <c r="EL198" i="1"/>
  <c r="EK198" i="1"/>
  <c r="DT198" i="1"/>
  <c r="DS198" i="1"/>
  <c r="DG198" i="1"/>
  <c r="CW198" i="1"/>
  <c r="DA198" i="1" s="1"/>
  <c r="DE198" i="1" s="1"/>
  <c r="CV198" i="1"/>
  <c r="DH198" i="1" s="1"/>
  <c r="CQ198" i="1"/>
  <c r="CS198" i="1" s="1"/>
  <c r="CN198" i="1"/>
  <c r="CL198" i="1"/>
  <c r="CR198" i="1" s="1"/>
  <c r="CT198" i="1" s="1"/>
  <c r="CH198" i="1"/>
  <c r="CG198" i="1"/>
  <c r="BT198" i="1"/>
  <c r="BS198" i="1"/>
  <c r="BG198" i="1"/>
  <c r="BF198" i="1"/>
  <c r="AF198" i="1"/>
  <c r="AB198" i="1"/>
  <c r="W198" i="1"/>
  <c r="Y198" i="1" s="1"/>
  <c r="AE198" i="1" s="1"/>
  <c r="V198" i="1"/>
  <c r="Q198" i="1"/>
  <c r="M198" i="1"/>
  <c r="EL197" i="1"/>
  <c r="EK197" i="1"/>
  <c r="DT197" i="1"/>
  <c r="DS197" i="1"/>
  <c r="DH197" i="1"/>
  <c r="DG197" i="1"/>
  <c r="CX197" i="1"/>
  <c r="CW197" i="1"/>
  <c r="DA197" i="1" s="1"/>
  <c r="DE197" i="1" s="1"/>
  <c r="CQ197" i="1"/>
  <c r="CS197" i="1" s="1"/>
  <c r="CL197" i="1"/>
  <c r="CR197" i="1" s="1"/>
  <c r="CT197" i="1" s="1"/>
  <c r="CH197" i="1"/>
  <c r="CG197" i="1"/>
  <c r="BT197" i="1"/>
  <c r="BS197" i="1"/>
  <c r="BG197" i="1"/>
  <c r="BF197" i="1"/>
  <c r="AF197" i="1"/>
  <c r="AB197" i="1"/>
  <c r="W197" i="1"/>
  <c r="Y197" i="1" s="1"/>
  <c r="AE197" i="1" s="1"/>
  <c r="V197" i="1"/>
  <c r="Q197" i="1"/>
  <c r="M197" i="1"/>
  <c r="EL196" i="1"/>
  <c r="EK196" i="1"/>
  <c r="DT196" i="1"/>
  <c r="DS196" i="1"/>
  <c r="DN196" i="1"/>
  <c r="DR196" i="1" s="1"/>
  <c r="DM196" i="1"/>
  <c r="DQ196" i="1" s="1"/>
  <c r="DU196" i="1" s="1"/>
  <c r="DY196" i="1" s="1"/>
  <c r="EC196" i="1" s="1"/>
  <c r="CV196" i="1"/>
  <c r="CQ196" i="1"/>
  <c r="CS196" i="1" s="1"/>
  <c r="CL196" i="1"/>
  <c r="CR196" i="1" s="1"/>
  <c r="CT196" i="1" s="1"/>
  <c r="CK196" i="1"/>
  <c r="CH196" i="1"/>
  <c r="CG196" i="1"/>
  <c r="BT196" i="1"/>
  <c r="BS196" i="1"/>
  <c r="BG196" i="1"/>
  <c r="BF196" i="1"/>
  <c r="AF196" i="1"/>
  <c r="AB196" i="1"/>
  <c r="W196" i="1"/>
  <c r="Y196" i="1" s="1"/>
  <c r="AE196" i="1" s="1"/>
  <c r="V196" i="1"/>
  <c r="Q196" i="1"/>
  <c r="M196" i="1"/>
  <c r="FF195" i="1"/>
  <c r="FF223" i="1" s="1"/>
  <c r="FE195" i="1"/>
  <c r="FD195" i="1"/>
  <c r="FC195" i="1"/>
  <c r="FB195" i="1"/>
  <c r="FA195" i="1"/>
  <c r="EZ195" i="1"/>
  <c r="EY195" i="1"/>
  <c r="EX195" i="1"/>
  <c r="EW195" i="1"/>
  <c r="ET195" i="1"/>
  <c r="ES195" i="1"/>
  <c r="EQ195" i="1"/>
  <c r="EP195" i="1"/>
  <c r="EO195" i="1"/>
  <c r="EF195" i="1"/>
  <c r="EE195" i="1"/>
  <c r="EB195" i="1"/>
  <c r="EA195" i="1"/>
  <c r="DX195" i="1"/>
  <c r="DW195" i="1"/>
  <c r="DP195" i="1"/>
  <c r="DO195" i="1"/>
  <c r="DL195" i="1"/>
  <c r="DK195" i="1"/>
  <c r="DD195" i="1"/>
  <c r="DC195" i="1"/>
  <c r="CZ195" i="1"/>
  <c r="CY195" i="1"/>
  <c r="CV195" i="1"/>
  <c r="CU195" i="1"/>
  <c r="CP195" i="1"/>
  <c r="CO195" i="1"/>
  <c r="CN195" i="1"/>
  <c r="CM195" i="1"/>
  <c r="CL195" i="1"/>
  <c r="CK195" i="1"/>
  <c r="CJ195" i="1"/>
  <c r="CI195" i="1"/>
  <c r="CF195" i="1"/>
  <c r="CE195" i="1"/>
  <c r="CD195" i="1"/>
  <c r="CC195" i="1"/>
  <c r="CB195" i="1"/>
  <c r="CA195" i="1"/>
  <c r="BZ195" i="1"/>
  <c r="BY195" i="1"/>
  <c r="BX195" i="1"/>
  <c r="BW195" i="1"/>
  <c r="BP195" i="1"/>
  <c r="BO195" i="1"/>
  <c r="BK195" i="1"/>
  <c r="BJ195" i="1"/>
  <c r="BI195" i="1"/>
  <c r="BC195" i="1"/>
  <c r="BB195" i="1"/>
  <c r="AX195" i="1"/>
  <c r="AW195" i="1"/>
  <c r="AT195" i="1"/>
  <c r="AS195" i="1"/>
  <c r="AP195" i="1"/>
  <c r="AO195" i="1"/>
  <c r="AL195" i="1"/>
  <c r="AK195" i="1"/>
  <c r="AA195" i="1"/>
  <c r="Z195" i="1"/>
  <c r="U195" i="1"/>
  <c r="T195" i="1"/>
  <c r="S195" i="1"/>
  <c r="P195" i="1"/>
  <c r="O195" i="1"/>
  <c r="N195" i="1"/>
  <c r="L195" i="1"/>
  <c r="K195" i="1"/>
  <c r="J195" i="1"/>
  <c r="EL194" i="1"/>
  <c r="EK194" i="1"/>
  <c r="DT194" i="1"/>
  <c r="DS194" i="1"/>
  <c r="DH194" i="1"/>
  <c r="DG194" i="1"/>
  <c r="CX194" i="1"/>
  <c r="DB194" i="1" s="1"/>
  <c r="DF194" i="1" s="1"/>
  <c r="CW194" i="1"/>
  <c r="CR194" i="1"/>
  <c r="CT194" i="1" s="1"/>
  <c r="CQ194" i="1"/>
  <c r="CS194" i="1" s="1"/>
  <c r="CH194" i="1"/>
  <c r="CG194" i="1"/>
  <c r="BT194" i="1"/>
  <c r="BS194" i="1"/>
  <c r="BH194" i="1"/>
  <c r="BG194" i="1"/>
  <c r="BF194" i="1"/>
  <c r="AF194" i="1"/>
  <c r="AB194" i="1"/>
  <c r="W194" i="1"/>
  <c r="Y194" i="1" s="1"/>
  <c r="AE194" i="1" s="1"/>
  <c r="V194" i="1"/>
  <c r="Q194" i="1"/>
  <c r="M194" i="1"/>
  <c r="EL193" i="1"/>
  <c r="EK193" i="1"/>
  <c r="DT193" i="1"/>
  <c r="DS193" i="1"/>
  <c r="DH193" i="1"/>
  <c r="DG193" i="1"/>
  <c r="CX193" i="1"/>
  <c r="DB193" i="1" s="1"/>
  <c r="DF193" i="1" s="1"/>
  <c r="CW193" i="1"/>
  <c r="DA193" i="1" s="1"/>
  <c r="CR193" i="1"/>
  <c r="CT193" i="1" s="1"/>
  <c r="CQ193" i="1"/>
  <c r="CS193" i="1" s="1"/>
  <c r="CH193" i="1"/>
  <c r="CG193" i="1"/>
  <c r="CG195" i="1" s="1"/>
  <c r="BT193" i="1"/>
  <c r="BS193" i="1"/>
  <c r="BH193" i="1"/>
  <c r="BH195" i="1" s="1"/>
  <c r="BG193" i="1"/>
  <c r="BG195" i="1" s="1"/>
  <c r="BF193" i="1"/>
  <c r="AF193" i="1"/>
  <c r="AB193" i="1"/>
  <c r="W193" i="1"/>
  <c r="Y193" i="1" s="1"/>
  <c r="V193" i="1"/>
  <c r="V195" i="1" s="1"/>
  <c r="Q193" i="1"/>
  <c r="M193" i="1"/>
  <c r="EL192" i="1"/>
  <c r="EK192" i="1"/>
  <c r="DT192" i="1"/>
  <c r="DS192" i="1"/>
  <c r="CR192" i="1"/>
  <c r="CQ192" i="1"/>
  <c r="CS192" i="1" s="1"/>
  <c r="CH192" i="1"/>
  <c r="CG192" i="1"/>
  <c r="BX192" i="1"/>
  <c r="BT192" i="1"/>
  <c r="BS192" i="1"/>
  <c r="BG192" i="1"/>
  <c r="BF192" i="1"/>
  <c r="AF192" i="1"/>
  <c r="AB192" i="1"/>
  <c r="W192" i="1"/>
  <c r="Y192" i="1" s="1"/>
  <c r="AE192" i="1" s="1"/>
  <c r="V192" i="1"/>
  <c r="Q192" i="1"/>
  <c r="M192" i="1"/>
  <c r="FB191" i="1"/>
  <c r="FA191" i="1"/>
  <c r="EZ191" i="1"/>
  <c r="EY191" i="1"/>
  <c r="EX191" i="1"/>
  <c r="EW191" i="1"/>
  <c r="ET191" i="1"/>
  <c r="ES191" i="1"/>
  <c r="ER191" i="1"/>
  <c r="EQ191" i="1"/>
  <c r="EP191" i="1"/>
  <c r="EO191" i="1"/>
  <c r="EF191" i="1"/>
  <c r="EE191" i="1"/>
  <c r="EB191" i="1"/>
  <c r="EA191" i="1"/>
  <c r="DX191" i="1"/>
  <c r="DW191" i="1"/>
  <c r="DP191" i="1"/>
  <c r="DO191" i="1"/>
  <c r="DL191" i="1"/>
  <c r="DK191" i="1"/>
  <c r="DD191" i="1"/>
  <c r="DC191" i="1"/>
  <c r="CZ191" i="1"/>
  <c r="CY191" i="1"/>
  <c r="CP191" i="1"/>
  <c r="CO191" i="1"/>
  <c r="CN191" i="1"/>
  <c r="CM191" i="1"/>
  <c r="CK191" i="1"/>
  <c r="CJ191" i="1"/>
  <c r="CI191" i="1"/>
  <c r="CF191" i="1"/>
  <c r="CE191" i="1"/>
  <c r="CD191" i="1"/>
  <c r="CC191" i="1"/>
  <c r="CB191" i="1"/>
  <c r="CA191" i="1"/>
  <c r="BZ191" i="1"/>
  <c r="BY191" i="1"/>
  <c r="BX191" i="1"/>
  <c r="BW191" i="1"/>
  <c r="BV191" i="1"/>
  <c r="BP191" i="1"/>
  <c r="BO191" i="1"/>
  <c r="BK191" i="1"/>
  <c r="BJ191" i="1"/>
  <c r="BI191" i="1"/>
  <c r="BH191" i="1"/>
  <c r="BC191" i="1"/>
  <c r="BB191" i="1"/>
  <c r="AX191" i="1"/>
  <c r="AW191" i="1"/>
  <c r="AT191" i="1"/>
  <c r="AS191" i="1"/>
  <c r="AP191" i="1"/>
  <c r="AO191" i="1"/>
  <c r="AL191" i="1"/>
  <c r="AK191" i="1"/>
  <c r="AA191" i="1"/>
  <c r="Z191" i="1"/>
  <c r="U191" i="1"/>
  <c r="T191" i="1"/>
  <c r="S191" i="1"/>
  <c r="P191" i="1"/>
  <c r="O191" i="1"/>
  <c r="N191" i="1"/>
  <c r="L191" i="1"/>
  <c r="K191" i="1"/>
  <c r="J191" i="1"/>
  <c r="EL190" i="1"/>
  <c r="EK190" i="1"/>
  <c r="DT190" i="1"/>
  <c r="DS190" i="1"/>
  <c r="CR190" i="1"/>
  <c r="CQ190" i="1"/>
  <c r="CS190" i="1" s="1"/>
  <c r="CH190" i="1"/>
  <c r="CG190" i="1"/>
  <c r="BT190" i="1"/>
  <c r="BS190" i="1"/>
  <c r="BG190" i="1"/>
  <c r="BF190" i="1"/>
  <c r="AV190" i="1"/>
  <c r="AF190" i="1"/>
  <c r="AB190" i="1"/>
  <c r="W190" i="1"/>
  <c r="Y190" i="1" s="1"/>
  <c r="AE190" i="1" s="1"/>
  <c r="AJ190" i="1" s="1"/>
  <c r="V190" i="1"/>
  <c r="Q190" i="1"/>
  <c r="R190" i="1" s="1"/>
  <c r="M190" i="1"/>
  <c r="EL189" i="1"/>
  <c r="EK189" i="1"/>
  <c r="DT189" i="1"/>
  <c r="DS189" i="1"/>
  <c r="CR189" i="1"/>
  <c r="CQ189" i="1"/>
  <c r="CH189" i="1"/>
  <c r="CG189" i="1"/>
  <c r="BT189" i="1"/>
  <c r="BS189" i="1"/>
  <c r="BG189" i="1"/>
  <c r="BF189" i="1"/>
  <c r="AF189" i="1"/>
  <c r="AB189" i="1"/>
  <c r="W189" i="1"/>
  <c r="Y189" i="1" s="1"/>
  <c r="AE189" i="1" s="1"/>
  <c r="AJ189" i="1" s="1"/>
  <c r="V189" i="1"/>
  <c r="Q189" i="1"/>
  <c r="R189" i="1" s="1"/>
  <c r="M189" i="1"/>
  <c r="EL188" i="1"/>
  <c r="EK188" i="1"/>
  <c r="ED188" i="1"/>
  <c r="EJ188" i="1" s="1"/>
  <c r="DT188" i="1"/>
  <c r="DS188" i="1"/>
  <c r="DR188" i="1"/>
  <c r="DQ188" i="1"/>
  <c r="CV188" i="1"/>
  <c r="CL188" i="1"/>
  <c r="CL191" i="1" s="1"/>
  <c r="CH188" i="1"/>
  <c r="CG188" i="1"/>
  <c r="BT188" i="1"/>
  <c r="BS188" i="1"/>
  <c r="BG188" i="1"/>
  <c r="BF188" i="1"/>
  <c r="AF188" i="1"/>
  <c r="AB188" i="1"/>
  <c r="W188" i="1"/>
  <c r="V188" i="1"/>
  <c r="Q188" i="1"/>
  <c r="M188" i="1"/>
  <c r="FD187" i="1"/>
  <c r="FC187" i="1"/>
  <c r="FB187" i="1"/>
  <c r="FA187" i="1"/>
  <c r="EZ187" i="1"/>
  <c r="EY187" i="1"/>
  <c r="EX187" i="1"/>
  <c r="EW187" i="1"/>
  <c r="ET187" i="1"/>
  <c r="ES187" i="1"/>
  <c r="ER187" i="1"/>
  <c r="EQ187" i="1"/>
  <c r="EP187" i="1"/>
  <c r="EO187" i="1"/>
  <c r="EF187" i="1"/>
  <c r="EE187" i="1"/>
  <c r="EB187" i="1"/>
  <c r="EA187" i="1"/>
  <c r="DZ187" i="1"/>
  <c r="DY187" i="1"/>
  <c r="DX187" i="1"/>
  <c r="DW187" i="1"/>
  <c r="DP187" i="1"/>
  <c r="DO187" i="1"/>
  <c r="DL187" i="1"/>
  <c r="DK187" i="1"/>
  <c r="DD187" i="1"/>
  <c r="DC187" i="1"/>
  <c r="CZ187" i="1"/>
  <c r="CY187" i="1"/>
  <c r="CX187" i="1"/>
  <c r="CP187" i="1"/>
  <c r="CO187" i="1"/>
  <c r="CN187" i="1"/>
  <c r="CM187" i="1"/>
  <c r="CK187" i="1"/>
  <c r="CJ187" i="1"/>
  <c r="CI187" i="1"/>
  <c r="CF187" i="1"/>
  <c r="CE187" i="1"/>
  <c r="CD187" i="1"/>
  <c r="CC187" i="1"/>
  <c r="CB187" i="1"/>
  <c r="BZ187" i="1"/>
  <c r="BY187" i="1"/>
  <c r="BW187" i="1"/>
  <c r="BV187" i="1"/>
  <c r="BU187" i="1"/>
  <c r="BO187" i="1"/>
  <c r="BK187" i="1"/>
  <c r="BJ187" i="1"/>
  <c r="BI187" i="1"/>
  <c r="BH187" i="1"/>
  <c r="BC187" i="1"/>
  <c r="BB187" i="1"/>
  <c r="AX187" i="1"/>
  <c r="AW187" i="1"/>
  <c r="AT187" i="1"/>
  <c r="AS187" i="1"/>
  <c r="AP187" i="1"/>
  <c r="AO187" i="1"/>
  <c r="AL187" i="1"/>
  <c r="AK187" i="1"/>
  <c r="AJ187" i="1"/>
  <c r="AH187" i="1"/>
  <c r="AA187" i="1"/>
  <c r="Z187" i="1"/>
  <c r="U187" i="1"/>
  <c r="T187" i="1"/>
  <c r="S187" i="1"/>
  <c r="P187" i="1"/>
  <c r="O187" i="1"/>
  <c r="N187" i="1"/>
  <c r="L187" i="1"/>
  <c r="K187" i="1"/>
  <c r="J187" i="1"/>
  <c r="EL186" i="1"/>
  <c r="EL187" i="1" s="1"/>
  <c r="EK186" i="1"/>
  <c r="EK187" i="1" s="1"/>
  <c r="DT186" i="1"/>
  <c r="DT187" i="1" s="1"/>
  <c r="DS186" i="1"/>
  <c r="CQ186" i="1"/>
  <c r="CQ187" i="1" s="1"/>
  <c r="CL186" i="1"/>
  <c r="CH186" i="1"/>
  <c r="CH187" i="1" s="1"/>
  <c r="CA186" i="1"/>
  <c r="CA187" i="1" s="1"/>
  <c r="BX186" i="1"/>
  <c r="BX187" i="1" s="1"/>
  <c r="BS186" i="1"/>
  <c r="BS187" i="1" s="1"/>
  <c r="BP186" i="1"/>
  <c r="BP187" i="1" s="1"/>
  <c r="BG186" i="1"/>
  <c r="BG187" i="1" s="1"/>
  <c r="BF186" i="1"/>
  <c r="BF187" i="1" s="1"/>
  <c r="AN186" i="1"/>
  <c r="AF186" i="1"/>
  <c r="AF187" i="1" s="1"/>
  <c r="AB186" i="1"/>
  <c r="W186" i="1"/>
  <c r="W187" i="1" s="1"/>
  <c r="V186" i="1"/>
  <c r="V187" i="1" s="1"/>
  <c r="Q186" i="1"/>
  <c r="Q187" i="1" s="1"/>
  <c r="M186" i="1"/>
  <c r="M187" i="1" s="1"/>
  <c r="FB184" i="1"/>
  <c r="FA184" i="1"/>
  <c r="EZ184" i="1"/>
  <c r="EY184" i="1"/>
  <c r="EX184" i="1"/>
  <c r="EW184" i="1"/>
  <c r="ET184" i="1"/>
  <c r="ES184" i="1"/>
  <c r="ER184" i="1"/>
  <c r="EQ184" i="1"/>
  <c r="EP184" i="1"/>
  <c r="EO184" i="1"/>
  <c r="EF184" i="1"/>
  <c r="EE184" i="1"/>
  <c r="EB184" i="1"/>
  <c r="EA184" i="1"/>
  <c r="DX184" i="1"/>
  <c r="DW184" i="1"/>
  <c r="DP184" i="1"/>
  <c r="DO184" i="1"/>
  <c r="DL184" i="1"/>
  <c r="DK184" i="1"/>
  <c r="DD184" i="1"/>
  <c r="DC184" i="1"/>
  <c r="CZ184" i="1"/>
  <c r="CY184" i="1"/>
  <c r="CP184" i="1"/>
  <c r="CO184" i="1"/>
  <c r="CN184" i="1"/>
  <c r="CM184" i="1"/>
  <c r="CL184" i="1"/>
  <c r="CK184" i="1"/>
  <c r="CJ184" i="1"/>
  <c r="CI184" i="1"/>
  <c r="CF184" i="1"/>
  <c r="CE184" i="1"/>
  <c r="CD184" i="1"/>
  <c r="CC184" i="1"/>
  <c r="CB184" i="1"/>
  <c r="CA184" i="1"/>
  <c r="BZ184" i="1"/>
  <c r="BY184" i="1"/>
  <c r="BX184" i="1"/>
  <c r="BW184" i="1"/>
  <c r="BP184" i="1"/>
  <c r="BO184" i="1"/>
  <c r="BK184" i="1"/>
  <c r="BJ184" i="1"/>
  <c r="BI184" i="1"/>
  <c r="BH184" i="1"/>
  <c r="BC184" i="1"/>
  <c r="BB184" i="1"/>
  <c r="AX184" i="1"/>
  <c r="AW184" i="1"/>
  <c r="AT184" i="1"/>
  <c r="AS184" i="1"/>
  <c r="AP184" i="1"/>
  <c r="AO184" i="1"/>
  <c r="AL184" i="1"/>
  <c r="AK184" i="1"/>
  <c r="AA184" i="1"/>
  <c r="Z184" i="1"/>
  <c r="U184" i="1"/>
  <c r="T184" i="1"/>
  <c r="S184" i="1"/>
  <c r="P184" i="1"/>
  <c r="O184" i="1"/>
  <c r="N184" i="1"/>
  <c r="L184" i="1"/>
  <c r="K184" i="1"/>
  <c r="J184" i="1"/>
  <c r="EL183" i="1"/>
  <c r="EK183" i="1"/>
  <c r="DT183" i="1"/>
  <c r="DS183" i="1"/>
  <c r="CR183" i="1"/>
  <c r="CT183" i="1" s="1"/>
  <c r="CQ183" i="1"/>
  <c r="CS183" i="1" s="1"/>
  <c r="CH183" i="1"/>
  <c r="CG183" i="1"/>
  <c r="BT183" i="1"/>
  <c r="BS183" i="1"/>
  <c r="BG183" i="1"/>
  <c r="BF183" i="1"/>
  <c r="AF183" i="1"/>
  <c r="AB183" i="1"/>
  <c r="W183" i="1"/>
  <c r="Y183" i="1" s="1"/>
  <c r="AE183" i="1" s="1"/>
  <c r="V183" i="1"/>
  <c r="Q183" i="1"/>
  <c r="R183" i="1" s="1"/>
  <c r="X183" i="1" s="1"/>
  <c r="AD183" i="1" s="1"/>
  <c r="AI183" i="1" s="1"/>
  <c r="M183" i="1"/>
  <c r="EL182" i="1"/>
  <c r="EK182" i="1"/>
  <c r="DT182" i="1"/>
  <c r="DS182" i="1"/>
  <c r="CR182" i="1"/>
  <c r="CT182" i="1" s="1"/>
  <c r="CQ182" i="1"/>
  <c r="CH182" i="1"/>
  <c r="CG182" i="1"/>
  <c r="BT182" i="1"/>
  <c r="BS182" i="1"/>
  <c r="BG182" i="1"/>
  <c r="BF182" i="1"/>
  <c r="AF182" i="1"/>
  <c r="AB182" i="1"/>
  <c r="W182" i="1"/>
  <c r="Y182" i="1" s="1"/>
  <c r="AE182" i="1" s="1"/>
  <c r="V182" i="1"/>
  <c r="Q182" i="1"/>
  <c r="R182" i="1" s="1"/>
  <c r="M182" i="1"/>
  <c r="EL181" i="1"/>
  <c r="EK181" i="1"/>
  <c r="DT181" i="1"/>
  <c r="DS181" i="1"/>
  <c r="DS184" i="1" s="1"/>
  <c r="DH181" i="1"/>
  <c r="DG181" i="1"/>
  <c r="DB181" i="1"/>
  <c r="DF181" i="1" s="1"/>
  <c r="DJ181" i="1" s="1"/>
  <c r="CW181" i="1"/>
  <c r="CR181" i="1"/>
  <c r="CQ181" i="1"/>
  <c r="CS181" i="1" s="1"/>
  <c r="CH181" i="1"/>
  <c r="CG181" i="1"/>
  <c r="BV181" i="1"/>
  <c r="BV184" i="1" s="1"/>
  <c r="BT181" i="1"/>
  <c r="BS181" i="1"/>
  <c r="BS184" i="1" s="1"/>
  <c r="BG181" i="1"/>
  <c r="BF181" i="1"/>
  <c r="AF181" i="1"/>
  <c r="AB181" i="1"/>
  <c r="W181" i="1"/>
  <c r="Y181" i="1" s="1"/>
  <c r="V181" i="1"/>
  <c r="Q181" i="1"/>
  <c r="M181" i="1"/>
  <c r="EL180" i="1"/>
  <c r="EK180" i="1"/>
  <c r="DT180" i="1"/>
  <c r="DS180" i="1"/>
  <c r="CR180" i="1"/>
  <c r="CK180" i="1"/>
  <c r="CQ180" i="1" s="1"/>
  <c r="CH180" i="1"/>
  <c r="CG180" i="1"/>
  <c r="BT180" i="1"/>
  <c r="BS180" i="1"/>
  <c r="BG180" i="1"/>
  <c r="BF180" i="1"/>
  <c r="AF180" i="1"/>
  <c r="AB180" i="1"/>
  <c r="W180" i="1"/>
  <c r="Y180" i="1" s="1"/>
  <c r="AE180" i="1" s="1"/>
  <c r="AN180" i="1" s="1"/>
  <c r="AR180" i="1" s="1"/>
  <c r="AZ180" i="1" s="1"/>
  <c r="V180" i="1"/>
  <c r="Q180" i="1"/>
  <c r="M180" i="1"/>
  <c r="EZ179" i="1"/>
  <c r="EY179" i="1"/>
  <c r="EX179" i="1"/>
  <c r="EW179" i="1"/>
  <c r="ES179" i="1"/>
  <c r="ER179" i="1"/>
  <c r="EQ179" i="1"/>
  <c r="EP179" i="1"/>
  <c r="EO179" i="1"/>
  <c r="EF179" i="1"/>
  <c r="EE179" i="1"/>
  <c r="EB179" i="1"/>
  <c r="EA179" i="1"/>
  <c r="DX179" i="1"/>
  <c r="DW179" i="1"/>
  <c r="DP179" i="1"/>
  <c r="DO179" i="1"/>
  <c r="DL179" i="1"/>
  <c r="DK179" i="1"/>
  <c r="DD179" i="1"/>
  <c r="DC179" i="1"/>
  <c r="CZ179" i="1"/>
  <c r="CY179" i="1"/>
  <c r="CV179" i="1"/>
  <c r="CU179" i="1"/>
  <c r="CO179" i="1"/>
  <c r="CN179" i="1"/>
  <c r="CM179" i="1"/>
  <c r="CK179" i="1"/>
  <c r="CJ179" i="1"/>
  <c r="CI179" i="1"/>
  <c r="CF179" i="1"/>
  <c r="CE179" i="1"/>
  <c r="CD179" i="1"/>
  <c r="CC179" i="1"/>
  <c r="CB179" i="1"/>
  <c r="CA179" i="1"/>
  <c r="BZ179" i="1"/>
  <c r="BY179" i="1"/>
  <c r="BX179" i="1"/>
  <c r="BV179" i="1"/>
  <c r="BP179" i="1"/>
  <c r="BO179" i="1"/>
  <c r="BK179" i="1"/>
  <c r="BJ179" i="1"/>
  <c r="BI179" i="1"/>
  <c r="BH179" i="1"/>
  <c r="BC179" i="1"/>
  <c r="BB179" i="1"/>
  <c r="AX179" i="1"/>
  <c r="AW179" i="1"/>
  <c r="AT179" i="1"/>
  <c r="AS179" i="1"/>
  <c r="AP179" i="1"/>
  <c r="AO179" i="1"/>
  <c r="AL179" i="1"/>
  <c r="AK179" i="1"/>
  <c r="AA179" i="1"/>
  <c r="Z179" i="1"/>
  <c r="U179" i="1"/>
  <c r="T179" i="1"/>
  <c r="S179" i="1"/>
  <c r="P179" i="1"/>
  <c r="O179" i="1"/>
  <c r="N179" i="1"/>
  <c r="L179" i="1"/>
  <c r="K179" i="1"/>
  <c r="J179" i="1"/>
  <c r="EL178" i="1"/>
  <c r="EK178" i="1"/>
  <c r="DT178" i="1"/>
  <c r="DS178" i="1"/>
  <c r="DH178" i="1"/>
  <c r="DG178" i="1"/>
  <c r="CX178" i="1"/>
  <c r="CX179" i="1" s="1"/>
  <c r="CW178" i="1"/>
  <c r="DA178" i="1" s="1"/>
  <c r="DE178" i="1" s="1"/>
  <c r="CR178" i="1"/>
  <c r="CT178" i="1" s="1"/>
  <c r="CQ178" i="1"/>
  <c r="CS178" i="1" s="1"/>
  <c r="CH178" i="1"/>
  <c r="CG178" i="1"/>
  <c r="BT178" i="1"/>
  <c r="BS178" i="1"/>
  <c r="BG178" i="1"/>
  <c r="BF178" i="1"/>
  <c r="AF178" i="1"/>
  <c r="AB178" i="1"/>
  <c r="W178" i="1"/>
  <c r="Y178" i="1" s="1"/>
  <c r="AE178" i="1" s="1"/>
  <c r="V178" i="1"/>
  <c r="Q178" i="1"/>
  <c r="M178" i="1"/>
  <c r="EL177" i="1"/>
  <c r="EK177" i="1"/>
  <c r="DT177" i="1"/>
  <c r="DS177" i="1"/>
  <c r="DH177" i="1"/>
  <c r="DG177" i="1"/>
  <c r="CW177" i="1"/>
  <c r="DA177" i="1" s="1"/>
  <c r="CQ177" i="1"/>
  <c r="CP177" i="1"/>
  <c r="CP179" i="1" s="1"/>
  <c r="CL177" i="1"/>
  <c r="DB177" i="1" s="1"/>
  <c r="CH177" i="1"/>
  <c r="CG177" i="1"/>
  <c r="CG179" i="1" s="1"/>
  <c r="BW177" i="1"/>
  <c r="BW179" i="1" s="1"/>
  <c r="BT177" i="1"/>
  <c r="BT179" i="1" s="1"/>
  <c r="BS177" i="1"/>
  <c r="BG177" i="1"/>
  <c r="BG179" i="1" s="1"/>
  <c r="BF177" i="1"/>
  <c r="BF179" i="1" s="1"/>
  <c r="AF177" i="1"/>
  <c r="AF179" i="1" s="1"/>
  <c r="AB177" i="1"/>
  <c r="W177" i="1"/>
  <c r="V177" i="1"/>
  <c r="Q177" i="1"/>
  <c r="M177" i="1"/>
  <c r="EL176" i="1"/>
  <c r="EK176" i="1"/>
  <c r="DT176" i="1"/>
  <c r="DS176" i="1"/>
  <c r="CR176" i="1"/>
  <c r="CT176" i="1" s="1"/>
  <c r="CQ176" i="1"/>
  <c r="CH176" i="1"/>
  <c r="CG176" i="1"/>
  <c r="BT176" i="1"/>
  <c r="BS176" i="1"/>
  <c r="BG176" i="1"/>
  <c r="BF176" i="1"/>
  <c r="AF176" i="1"/>
  <c r="AB176" i="1"/>
  <c r="W176" i="1"/>
  <c r="Y176" i="1" s="1"/>
  <c r="AE176" i="1" s="1"/>
  <c r="V176" i="1"/>
  <c r="Q176" i="1"/>
  <c r="R176" i="1" s="1"/>
  <c r="X176" i="1" s="1"/>
  <c r="AD176" i="1" s="1"/>
  <c r="AI176" i="1" s="1"/>
  <c r="M176" i="1"/>
  <c r="EL175" i="1"/>
  <c r="EK175" i="1"/>
  <c r="DT175" i="1"/>
  <c r="DS175" i="1"/>
  <c r="DN175" i="1"/>
  <c r="ED175" i="1" s="1"/>
  <c r="DM175" i="1"/>
  <c r="DQ175" i="1" s="1"/>
  <c r="CW175" i="1"/>
  <c r="CV175" i="1"/>
  <c r="CR175" i="1"/>
  <c r="CT175" i="1" s="1"/>
  <c r="CQ175" i="1"/>
  <c r="CS175" i="1" s="1"/>
  <c r="CH175" i="1"/>
  <c r="CG175" i="1"/>
  <c r="BT175" i="1"/>
  <c r="BS175" i="1"/>
  <c r="BG175" i="1"/>
  <c r="BF175" i="1"/>
  <c r="AF175" i="1"/>
  <c r="AB175" i="1"/>
  <c r="W175" i="1"/>
  <c r="Y175" i="1" s="1"/>
  <c r="AE175" i="1" s="1"/>
  <c r="AJ175" i="1" s="1"/>
  <c r="V175" i="1"/>
  <c r="Q175" i="1"/>
  <c r="M175" i="1"/>
  <c r="FD174" i="1"/>
  <c r="FC174" i="1"/>
  <c r="FB174" i="1"/>
  <c r="FA174" i="1"/>
  <c r="EZ174" i="1"/>
  <c r="EX174" i="1"/>
  <c r="EQ174" i="1"/>
  <c r="EP174" i="1"/>
  <c r="EO174" i="1"/>
  <c r="EF174" i="1"/>
  <c r="EE174" i="1"/>
  <c r="EB174" i="1"/>
  <c r="EA174" i="1"/>
  <c r="DX174" i="1"/>
  <c r="DW174" i="1"/>
  <c r="DP174" i="1"/>
  <c r="DO174" i="1"/>
  <c r="DL174" i="1"/>
  <c r="DK174" i="1"/>
  <c r="DD174" i="1"/>
  <c r="DC174" i="1"/>
  <c r="CZ174" i="1"/>
  <c r="CY174" i="1"/>
  <c r="CP174" i="1"/>
  <c r="CO174" i="1"/>
  <c r="CN174" i="1"/>
  <c r="CM174" i="1"/>
  <c r="CL174" i="1"/>
  <c r="CK174" i="1"/>
  <c r="CJ174" i="1"/>
  <c r="CI174" i="1"/>
  <c r="CF174" i="1"/>
  <c r="CE174" i="1"/>
  <c r="CD174" i="1"/>
  <c r="CC174" i="1"/>
  <c r="CB174" i="1"/>
  <c r="CA174" i="1"/>
  <c r="BZ174" i="1"/>
  <c r="BY174" i="1"/>
  <c r="BX174" i="1"/>
  <c r="BW174" i="1"/>
  <c r="BV174" i="1"/>
  <c r="BP174" i="1"/>
  <c r="BO174" i="1"/>
  <c r="BK174" i="1"/>
  <c r="BJ174" i="1"/>
  <c r="BI174" i="1"/>
  <c r="BH174" i="1"/>
  <c r="BC174" i="1"/>
  <c r="BB174" i="1"/>
  <c r="AX174" i="1"/>
  <c r="AW174" i="1"/>
  <c r="AT174" i="1"/>
  <c r="AS174" i="1"/>
  <c r="AP174" i="1"/>
  <c r="AO174" i="1"/>
  <c r="AL174" i="1"/>
  <c r="AK174" i="1"/>
  <c r="AA174" i="1"/>
  <c r="Z174" i="1"/>
  <c r="AB174" i="1" s="1"/>
  <c r="U174" i="1"/>
  <c r="T174" i="1"/>
  <c r="S174" i="1"/>
  <c r="P174" i="1"/>
  <c r="O174" i="1"/>
  <c r="N174" i="1"/>
  <c r="L174" i="1"/>
  <c r="K174" i="1"/>
  <c r="J174" i="1"/>
  <c r="EL173" i="1"/>
  <c r="EK173" i="1"/>
  <c r="DT173" i="1"/>
  <c r="DS173" i="1"/>
  <c r="CR173" i="1"/>
  <c r="CQ173" i="1"/>
  <c r="CS173" i="1" s="1"/>
  <c r="CH173" i="1"/>
  <c r="CG173" i="1"/>
  <c r="BT173" i="1"/>
  <c r="BS173" i="1"/>
  <c r="BG173" i="1"/>
  <c r="BF173" i="1"/>
  <c r="AF173" i="1"/>
  <c r="AB173" i="1"/>
  <c r="W173" i="1"/>
  <c r="Y173" i="1" s="1"/>
  <c r="AE173" i="1" s="1"/>
  <c r="V173" i="1"/>
  <c r="Q173" i="1"/>
  <c r="M173" i="1"/>
  <c r="R173" i="1" s="1"/>
  <c r="EY172" i="1"/>
  <c r="EY174" i="1" s="1"/>
  <c r="EW172" i="1"/>
  <c r="EW174" i="1" s="1"/>
  <c r="EL172" i="1"/>
  <c r="EK172" i="1"/>
  <c r="DT172" i="1"/>
  <c r="DS172" i="1"/>
  <c r="CR172" i="1"/>
  <c r="CQ172" i="1"/>
  <c r="CH172" i="1"/>
  <c r="CG172" i="1"/>
  <c r="BT172" i="1"/>
  <c r="BS172" i="1"/>
  <c r="BG172" i="1"/>
  <c r="BF172" i="1"/>
  <c r="AF172" i="1"/>
  <c r="AB172" i="1"/>
  <c r="W172" i="1"/>
  <c r="Y172" i="1" s="1"/>
  <c r="AE172" i="1" s="1"/>
  <c r="AJ172" i="1" s="1"/>
  <c r="V172" i="1"/>
  <c r="Q172" i="1"/>
  <c r="M172" i="1"/>
  <c r="EL171" i="1"/>
  <c r="EK171" i="1"/>
  <c r="DT171" i="1"/>
  <c r="DS171" i="1"/>
  <c r="CR171" i="1"/>
  <c r="CQ171" i="1"/>
  <c r="CS171" i="1" s="1"/>
  <c r="CH171" i="1"/>
  <c r="CG171" i="1"/>
  <c r="BT171" i="1"/>
  <c r="BS171" i="1"/>
  <c r="BG171" i="1"/>
  <c r="BF171" i="1"/>
  <c r="AF171" i="1"/>
  <c r="AB171" i="1"/>
  <c r="W171" i="1"/>
  <c r="V171" i="1"/>
  <c r="Q171" i="1"/>
  <c r="M171" i="1"/>
  <c r="EL170" i="1"/>
  <c r="EK170" i="1"/>
  <c r="DT170" i="1"/>
  <c r="DS170" i="1"/>
  <c r="DG170" i="1"/>
  <c r="CZ170" i="1"/>
  <c r="CW170" i="1"/>
  <c r="DA170" i="1" s="1"/>
  <c r="DE170" i="1" s="1"/>
  <c r="CV170" i="1"/>
  <c r="CX170" i="1" s="1"/>
  <c r="CQ170" i="1"/>
  <c r="CS170" i="1" s="1"/>
  <c r="CL170" i="1"/>
  <c r="CR170" i="1" s="1"/>
  <c r="CT170" i="1" s="1"/>
  <c r="CH170" i="1"/>
  <c r="CG170" i="1"/>
  <c r="BT170" i="1"/>
  <c r="BS170" i="1"/>
  <c r="BG170" i="1"/>
  <c r="BF170" i="1"/>
  <c r="AF170" i="1"/>
  <c r="AB170" i="1"/>
  <c r="W170" i="1"/>
  <c r="Y170" i="1" s="1"/>
  <c r="AE170" i="1" s="1"/>
  <c r="V170" i="1"/>
  <c r="Q170" i="1"/>
  <c r="M170" i="1"/>
  <c r="EL169" i="1"/>
  <c r="EK169" i="1"/>
  <c r="DT169" i="1"/>
  <c r="DS169" i="1"/>
  <c r="DH169" i="1"/>
  <c r="DG169" i="1"/>
  <c r="CX169" i="1"/>
  <c r="DB169" i="1" s="1"/>
  <c r="DF169" i="1" s="1"/>
  <c r="CW169" i="1"/>
  <c r="DA169" i="1" s="1"/>
  <c r="DE169" i="1" s="1"/>
  <c r="CR169" i="1"/>
  <c r="CT169" i="1" s="1"/>
  <c r="CQ169" i="1"/>
  <c r="CS169" i="1" s="1"/>
  <c r="CH169" i="1"/>
  <c r="CG169" i="1"/>
  <c r="BT169" i="1"/>
  <c r="BS169" i="1"/>
  <c r="BG169" i="1"/>
  <c r="BF169" i="1"/>
  <c r="AF169" i="1"/>
  <c r="AB169" i="1"/>
  <c r="W169" i="1"/>
  <c r="Y169" i="1" s="1"/>
  <c r="AE169" i="1" s="1"/>
  <c r="V169" i="1"/>
  <c r="Q169" i="1"/>
  <c r="M169" i="1"/>
  <c r="FB168" i="1"/>
  <c r="FA168" i="1"/>
  <c r="EZ168" i="1"/>
  <c r="EY168" i="1"/>
  <c r="EX168" i="1"/>
  <c r="EW168" i="1"/>
  <c r="ES168" i="1"/>
  <c r="EQ168" i="1"/>
  <c r="EP168" i="1"/>
  <c r="EO168" i="1"/>
  <c r="EF168" i="1"/>
  <c r="EE168" i="1"/>
  <c r="EB168" i="1"/>
  <c r="EA168" i="1"/>
  <c r="DX168" i="1"/>
  <c r="DW168" i="1"/>
  <c r="DP168" i="1"/>
  <c r="DO168" i="1"/>
  <c r="DL168" i="1"/>
  <c r="DK168" i="1"/>
  <c r="DD168" i="1"/>
  <c r="DC168" i="1"/>
  <c r="CZ168" i="1"/>
  <c r="CY168" i="1"/>
  <c r="CP168" i="1"/>
  <c r="CO168" i="1"/>
  <c r="CN168" i="1"/>
  <c r="CM168" i="1"/>
  <c r="CL168" i="1"/>
  <c r="CK168" i="1"/>
  <c r="CJ168" i="1"/>
  <c r="CI168" i="1"/>
  <c r="CF168" i="1"/>
  <c r="CE168" i="1"/>
  <c r="CD168" i="1"/>
  <c r="CC168" i="1"/>
  <c r="CB168" i="1"/>
  <c r="CA168" i="1"/>
  <c r="BZ168" i="1"/>
  <c r="BY168" i="1"/>
  <c r="BX168" i="1"/>
  <c r="BW168" i="1"/>
  <c r="BV168" i="1"/>
  <c r="BP168" i="1"/>
  <c r="BO168" i="1"/>
  <c r="BK168" i="1"/>
  <c r="BJ168" i="1"/>
  <c r="BI168" i="1"/>
  <c r="BH168" i="1"/>
  <c r="BC168" i="1"/>
  <c r="BB168" i="1"/>
  <c r="AX168" i="1"/>
  <c r="AW168" i="1"/>
  <c r="AT168" i="1"/>
  <c r="AS168" i="1"/>
  <c r="AP168" i="1"/>
  <c r="AO168" i="1"/>
  <c r="AL168" i="1"/>
  <c r="AK168" i="1"/>
  <c r="AA168" i="1"/>
  <c r="Z168" i="1"/>
  <c r="U168" i="1"/>
  <c r="T168" i="1"/>
  <c r="S168" i="1"/>
  <c r="P168" i="1"/>
  <c r="O168" i="1"/>
  <c r="N168" i="1"/>
  <c r="L168" i="1"/>
  <c r="K168" i="1"/>
  <c r="J168" i="1"/>
  <c r="EL167" i="1"/>
  <c r="EK167" i="1"/>
  <c r="DT167" i="1"/>
  <c r="DS167" i="1"/>
  <c r="CR167" i="1"/>
  <c r="CQ167" i="1"/>
  <c r="CS167" i="1" s="1"/>
  <c r="CH167" i="1"/>
  <c r="CG167" i="1"/>
  <c r="BT167" i="1"/>
  <c r="BS167" i="1"/>
  <c r="BG167" i="1"/>
  <c r="BF167" i="1"/>
  <c r="AF167" i="1"/>
  <c r="AB167" i="1"/>
  <c r="W167" i="1"/>
  <c r="Y167" i="1" s="1"/>
  <c r="AE167" i="1" s="1"/>
  <c r="V167" i="1"/>
  <c r="Q167" i="1"/>
  <c r="M167" i="1"/>
  <c r="EL166" i="1"/>
  <c r="EK166" i="1"/>
  <c r="EK168" i="1" s="1"/>
  <c r="DT166" i="1"/>
  <c r="DS166" i="1"/>
  <c r="DH166" i="1"/>
  <c r="DG166" i="1"/>
  <c r="CX166" i="1"/>
  <c r="DB166" i="1" s="1"/>
  <c r="CW166" i="1"/>
  <c r="DA166" i="1" s="1"/>
  <c r="DE166" i="1" s="1"/>
  <c r="CR166" i="1"/>
  <c r="CT166" i="1" s="1"/>
  <c r="CQ166" i="1"/>
  <c r="CS166" i="1" s="1"/>
  <c r="CH166" i="1"/>
  <c r="CG166" i="1"/>
  <c r="BT166" i="1"/>
  <c r="BS166" i="1"/>
  <c r="BG166" i="1"/>
  <c r="BF166" i="1"/>
  <c r="AF166" i="1"/>
  <c r="AB166" i="1"/>
  <c r="W166" i="1"/>
  <c r="V166" i="1"/>
  <c r="V168" i="1" s="1"/>
  <c r="Q166" i="1"/>
  <c r="M166" i="1"/>
  <c r="EL165" i="1"/>
  <c r="EK165" i="1"/>
  <c r="DT165" i="1"/>
  <c r="DS165" i="1"/>
  <c r="CQ165" i="1"/>
  <c r="CL165" i="1"/>
  <c r="CH165" i="1"/>
  <c r="CG165" i="1"/>
  <c r="BT165" i="1"/>
  <c r="BS165" i="1"/>
  <c r="BG165" i="1"/>
  <c r="BF165" i="1"/>
  <c r="AF165" i="1"/>
  <c r="AB165" i="1"/>
  <c r="W165" i="1"/>
  <c r="Y165" i="1" s="1"/>
  <c r="AE165" i="1" s="1"/>
  <c r="V165" i="1"/>
  <c r="Q165" i="1"/>
  <c r="R165" i="1" s="1"/>
  <c r="M165" i="1"/>
  <c r="FB164" i="1"/>
  <c r="FA164" i="1"/>
  <c r="EZ164" i="1"/>
  <c r="EY164" i="1"/>
  <c r="EX164" i="1"/>
  <c r="EW164" i="1"/>
  <c r="ET164" i="1"/>
  <c r="ES164" i="1"/>
  <c r="ER164" i="1"/>
  <c r="EQ164" i="1"/>
  <c r="EP164" i="1"/>
  <c r="EO164" i="1"/>
  <c r="EF164" i="1"/>
  <c r="EE164" i="1"/>
  <c r="EB164" i="1"/>
  <c r="EA164" i="1"/>
  <c r="DX164" i="1"/>
  <c r="DW164" i="1"/>
  <c r="DP164" i="1"/>
  <c r="DO164" i="1"/>
  <c r="DL164" i="1"/>
  <c r="DK164" i="1"/>
  <c r="DD164" i="1"/>
  <c r="DC164" i="1"/>
  <c r="CZ164" i="1"/>
  <c r="CY164" i="1"/>
  <c r="CV164" i="1"/>
  <c r="CP164" i="1"/>
  <c r="CO164" i="1"/>
  <c r="CN164" i="1"/>
  <c r="CM164" i="1"/>
  <c r="CL164" i="1"/>
  <c r="CK164" i="1"/>
  <c r="CJ164" i="1"/>
  <c r="CI164" i="1"/>
  <c r="CF164" i="1"/>
  <c r="CE164" i="1"/>
  <c r="CD164" i="1"/>
  <c r="CC164" i="1"/>
  <c r="CB164" i="1"/>
  <c r="CA164" i="1"/>
  <c r="BZ164" i="1"/>
  <c r="BY164" i="1"/>
  <c r="BX164" i="1"/>
  <c r="BW164" i="1"/>
  <c r="BV164" i="1"/>
  <c r="BP164" i="1"/>
  <c r="BO164" i="1"/>
  <c r="BK164" i="1"/>
  <c r="BJ164" i="1"/>
  <c r="BI164" i="1"/>
  <c r="BH164" i="1"/>
  <c r="BC164" i="1"/>
  <c r="BB164" i="1"/>
  <c r="AX164" i="1"/>
  <c r="AW164" i="1"/>
  <c r="AT164" i="1"/>
  <c r="AS164" i="1"/>
  <c r="AP164" i="1"/>
  <c r="AO164" i="1"/>
  <c r="AL164" i="1"/>
  <c r="AK164" i="1"/>
  <c r="AA164" i="1"/>
  <c r="Z164" i="1"/>
  <c r="U164" i="1"/>
  <c r="T164" i="1"/>
  <c r="S164" i="1"/>
  <c r="P164" i="1"/>
  <c r="O164" i="1"/>
  <c r="N164" i="1"/>
  <c r="L164" i="1"/>
  <c r="K164" i="1"/>
  <c r="J164" i="1"/>
  <c r="EL163" i="1"/>
  <c r="EK163" i="1"/>
  <c r="DT163" i="1"/>
  <c r="DS163" i="1"/>
  <c r="DH163" i="1"/>
  <c r="CX163" i="1"/>
  <c r="DB163" i="1" s="1"/>
  <c r="DF163" i="1" s="1"/>
  <c r="CR163" i="1"/>
  <c r="CT163" i="1" s="1"/>
  <c r="CQ163" i="1"/>
  <c r="CS163" i="1" s="1"/>
  <c r="CH163" i="1"/>
  <c r="CG163" i="1"/>
  <c r="BT163" i="1"/>
  <c r="BS163" i="1"/>
  <c r="BG163" i="1"/>
  <c r="BF163" i="1"/>
  <c r="AF163" i="1"/>
  <c r="AB163" i="1"/>
  <c r="W163" i="1"/>
  <c r="Y163" i="1" s="1"/>
  <c r="AE163" i="1" s="1"/>
  <c r="V163" i="1"/>
  <c r="Q163" i="1"/>
  <c r="M163" i="1"/>
  <c r="R163" i="1" s="1"/>
  <c r="X163" i="1" s="1"/>
  <c r="AD163" i="1" s="1"/>
  <c r="EL162" i="1"/>
  <c r="EK162" i="1"/>
  <c r="EK164" i="1" s="1"/>
  <c r="DT162" i="1"/>
  <c r="DS162" i="1"/>
  <c r="DH162" i="1"/>
  <c r="DB162" i="1"/>
  <c r="DF162" i="1" s="1"/>
  <c r="CR162" i="1"/>
  <c r="CT162" i="1" s="1"/>
  <c r="CT164" i="1" s="1"/>
  <c r="CQ162" i="1"/>
  <c r="CQ164" i="1" s="1"/>
  <c r="CH162" i="1"/>
  <c r="CG162" i="1"/>
  <c r="CG164" i="1" s="1"/>
  <c r="BT162" i="1"/>
  <c r="BS162" i="1"/>
  <c r="BG162" i="1"/>
  <c r="BF162" i="1"/>
  <c r="BF164" i="1" s="1"/>
  <c r="AF162" i="1"/>
  <c r="AF164" i="1" s="1"/>
  <c r="AB162" i="1"/>
  <c r="W162" i="1"/>
  <c r="V162" i="1"/>
  <c r="V164" i="1" s="1"/>
  <c r="Q162" i="1"/>
  <c r="M162" i="1"/>
  <c r="EL161" i="1"/>
  <c r="EK161" i="1"/>
  <c r="DT161" i="1"/>
  <c r="DS161" i="1"/>
  <c r="DL161" i="1"/>
  <c r="DH161" i="1"/>
  <c r="DG161" i="1"/>
  <c r="CX161" i="1"/>
  <c r="CW161" i="1"/>
  <c r="DA161" i="1" s="1"/>
  <c r="DE161" i="1" s="1"/>
  <c r="CQ161" i="1"/>
  <c r="CL161" i="1"/>
  <c r="CR161" i="1" s="1"/>
  <c r="CH161" i="1"/>
  <c r="CG161" i="1"/>
  <c r="BT161" i="1"/>
  <c r="BS161" i="1"/>
  <c r="BG161" i="1"/>
  <c r="BF161" i="1"/>
  <c r="AF161" i="1"/>
  <c r="AB161" i="1"/>
  <c r="W161" i="1"/>
  <c r="Y161" i="1" s="1"/>
  <c r="AE161" i="1" s="1"/>
  <c r="V161" i="1"/>
  <c r="Q161" i="1"/>
  <c r="M161" i="1"/>
  <c r="FC160" i="1"/>
  <c r="FB160" i="1"/>
  <c r="FA160" i="1"/>
  <c r="EZ160" i="1"/>
  <c r="EY160" i="1"/>
  <c r="EX160" i="1"/>
  <c r="EW160" i="1"/>
  <c r="ES160" i="1"/>
  <c r="EQ160" i="1"/>
  <c r="EP160" i="1"/>
  <c r="EO160" i="1"/>
  <c r="EF160" i="1"/>
  <c r="EE160" i="1"/>
  <c r="EB160" i="1"/>
  <c r="EA160" i="1"/>
  <c r="DX160" i="1"/>
  <c r="DW160" i="1"/>
  <c r="DP160" i="1"/>
  <c r="DO160" i="1"/>
  <c r="DL160" i="1"/>
  <c r="DK160" i="1"/>
  <c r="DD160" i="1"/>
  <c r="DC160" i="1"/>
  <c r="CZ160" i="1"/>
  <c r="CY160" i="1"/>
  <c r="CP160" i="1"/>
  <c r="CO160" i="1"/>
  <c r="CN160" i="1"/>
  <c r="CM160" i="1"/>
  <c r="CK160" i="1"/>
  <c r="CJ160" i="1"/>
  <c r="CI160" i="1"/>
  <c r="CF160" i="1"/>
  <c r="CE160" i="1"/>
  <c r="CD160" i="1"/>
  <c r="CC160" i="1"/>
  <c r="CB160" i="1"/>
  <c r="CA160" i="1"/>
  <c r="BZ160" i="1"/>
  <c r="BY160" i="1"/>
  <c r="BX160" i="1"/>
  <c r="BW160" i="1"/>
  <c r="BV160" i="1"/>
  <c r="BP160" i="1"/>
  <c r="BO160" i="1"/>
  <c r="BK160" i="1"/>
  <c r="BJ160" i="1"/>
  <c r="BI160" i="1"/>
  <c r="BH160" i="1"/>
  <c r="BC160" i="1"/>
  <c r="BB160" i="1"/>
  <c r="AX160" i="1"/>
  <c r="AW160" i="1"/>
  <c r="AT160" i="1"/>
  <c r="AS160" i="1"/>
  <c r="AP160" i="1"/>
  <c r="AO160" i="1"/>
  <c r="AL160" i="1"/>
  <c r="AK160" i="1"/>
  <c r="AA160" i="1"/>
  <c r="Z160" i="1"/>
  <c r="U160" i="1"/>
  <c r="T160" i="1"/>
  <c r="S160" i="1"/>
  <c r="P160" i="1"/>
  <c r="O160" i="1"/>
  <c r="N160" i="1"/>
  <c r="L160" i="1"/>
  <c r="K160" i="1"/>
  <c r="J160" i="1"/>
  <c r="EL159" i="1"/>
  <c r="EK159" i="1"/>
  <c r="DT159" i="1"/>
  <c r="DS159" i="1"/>
  <c r="CR159" i="1"/>
  <c r="CT159" i="1" s="1"/>
  <c r="CQ159" i="1"/>
  <c r="CS159" i="1" s="1"/>
  <c r="CH159" i="1"/>
  <c r="CG159" i="1"/>
  <c r="BT159" i="1"/>
  <c r="BS159" i="1"/>
  <c r="BG159" i="1"/>
  <c r="BF159" i="1"/>
  <c r="BF160" i="1" s="1"/>
  <c r="AF159" i="1"/>
  <c r="AB159" i="1"/>
  <c r="W159" i="1"/>
  <c r="V159" i="1"/>
  <c r="Q159" i="1"/>
  <c r="M159" i="1"/>
  <c r="EL158" i="1"/>
  <c r="EK158" i="1"/>
  <c r="DT158" i="1"/>
  <c r="DS158" i="1"/>
  <c r="CQ158" i="1"/>
  <c r="CS158" i="1" s="1"/>
  <c r="CL158" i="1"/>
  <c r="CR158" i="1" s="1"/>
  <c r="CT158" i="1" s="1"/>
  <c r="CH158" i="1"/>
  <c r="CG158" i="1"/>
  <c r="BT158" i="1"/>
  <c r="BS158" i="1"/>
  <c r="BG158" i="1"/>
  <c r="BF158" i="1"/>
  <c r="AF158" i="1"/>
  <c r="AB158" i="1"/>
  <c r="W158" i="1"/>
  <c r="Y158" i="1" s="1"/>
  <c r="AE158" i="1" s="1"/>
  <c r="AJ158" i="1" s="1"/>
  <c r="V158" i="1"/>
  <c r="Q158" i="1"/>
  <c r="M158" i="1"/>
  <c r="EL157" i="1"/>
  <c r="EK157" i="1"/>
  <c r="DT157" i="1"/>
  <c r="DS157" i="1"/>
  <c r="DH157" i="1"/>
  <c r="DG157" i="1"/>
  <c r="CX157" i="1"/>
  <c r="DB157" i="1" s="1"/>
  <c r="DF157" i="1" s="1"/>
  <c r="CW157" i="1"/>
  <c r="DA157" i="1" s="1"/>
  <c r="DE157" i="1" s="1"/>
  <c r="CR157" i="1"/>
  <c r="CT157" i="1" s="1"/>
  <c r="CQ157" i="1"/>
  <c r="CS157" i="1" s="1"/>
  <c r="CH157" i="1"/>
  <c r="CG157" i="1"/>
  <c r="BT157" i="1"/>
  <c r="BS157" i="1"/>
  <c r="BG157" i="1"/>
  <c r="BF157" i="1"/>
  <c r="AF157" i="1"/>
  <c r="AB157" i="1"/>
  <c r="W157" i="1"/>
  <c r="Y157" i="1" s="1"/>
  <c r="AE157" i="1" s="1"/>
  <c r="V157" i="1"/>
  <c r="Q157" i="1"/>
  <c r="M157" i="1"/>
  <c r="FC156" i="1"/>
  <c r="FB156" i="1"/>
  <c r="FA156" i="1"/>
  <c r="EZ156" i="1"/>
  <c r="EY156" i="1"/>
  <c r="EX156" i="1"/>
  <c r="EW156" i="1"/>
  <c r="ET156" i="1"/>
  <c r="ES156" i="1"/>
  <c r="ER156" i="1"/>
  <c r="EQ156" i="1"/>
  <c r="EP156" i="1"/>
  <c r="EO156" i="1"/>
  <c r="EF156" i="1"/>
  <c r="EE156" i="1"/>
  <c r="EB156" i="1"/>
  <c r="EA156" i="1"/>
  <c r="DX156" i="1"/>
  <c r="DW156" i="1"/>
  <c r="DP156" i="1"/>
  <c r="DO156" i="1"/>
  <c r="DK156" i="1"/>
  <c r="DD156" i="1"/>
  <c r="DC156" i="1"/>
  <c r="CZ156" i="1"/>
  <c r="CY156" i="1"/>
  <c r="CP156" i="1"/>
  <c r="CO156" i="1"/>
  <c r="CN156" i="1"/>
  <c r="CM156" i="1"/>
  <c r="CK156" i="1"/>
  <c r="CJ156" i="1"/>
  <c r="CI156" i="1"/>
  <c r="CF156" i="1"/>
  <c r="CE156" i="1"/>
  <c r="CD156" i="1"/>
  <c r="CC156" i="1"/>
  <c r="CB156" i="1"/>
  <c r="CA156" i="1"/>
  <c r="BZ156" i="1"/>
  <c r="BY156" i="1"/>
  <c r="BX156" i="1"/>
  <c r="BW156" i="1"/>
  <c r="BP156" i="1"/>
  <c r="BO156" i="1"/>
  <c r="BK156" i="1"/>
  <c r="BJ156" i="1"/>
  <c r="BI156" i="1"/>
  <c r="BH156" i="1"/>
  <c r="BC156" i="1"/>
  <c r="BB156" i="1"/>
  <c r="AX156" i="1"/>
  <c r="AW156" i="1"/>
  <c r="AT156" i="1"/>
  <c r="AS156" i="1"/>
  <c r="AP156" i="1"/>
  <c r="AO156" i="1"/>
  <c r="AL156" i="1"/>
  <c r="AK156" i="1"/>
  <c r="AA156" i="1"/>
  <c r="Z156" i="1"/>
  <c r="U156" i="1"/>
  <c r="T156" i="1"/>
  <c r="S156" i="1"/>
  <c r="P156" i="1"/>
  <c r="O156" i="1"/>
  <c r="N156" i="1"/>
  <c r="L156" i="1"/>
  <c r="K156" i="1"/>
  <c r="J156" i="1"/>
  <c r="EL155" i="1"/>
  <c r="EK155" i="1"/>
  <c r="DT155" i="1"/>
  <c r="DS155" i="1"/>
  <c r="CR155" i="1"/>
  <c r="CT155" i="1" s="1"/>
  <c r="CQ155" i="1"/>
  <c r="CS155" i="1" s="1"/>
  <c r="CH155" i="1"/>
  <c r="CG155" i="1"/>
  <c r="BT155" i="1"/>
  <c r="BS155" i="1"/>
  <c r="BG155" i="1"/>
  <c r="BF155" i="1"/>
  <c r="AF155" i="1"/>
  <c r="AB155" i="1"/>
  <c r="W155" i="1"/>
  <c r="Y155" i="1" s="1"/>
  <c r="AE155" i="1" s="1"/>
  <c r="AJ155" i="1" s="1"/>
  <c r="V155" i="1"/>
  <c r="Q155" i="1"/>
  <c r="R155" i="1" s="1"/>
  <c r="M155" i="1"/>
  <c r="EL154" i="1"/>
  <c r="EK154" i="1"/>
  <c r="DT154" i="1"/>
  <c r="DS154" i="1"/>
  <c r="CR154" i="1"/>
  <c r="CT154" i="1" s="1"/>
  <c r="CQ154" i="1"/>
  <c r="CH154" i="1"/>
  <c r="CG154" i="1"/>
  <c r="BT154" i="1"/>
  <c r="BS154" i="1"/>
  <c r="BG154" i="1"/>
  <c r="BF154" i="1"/>
  <c r="AF154" i="1"/>
  <c r="AB154" i="1"/>
  <c r="W154" i="1"/>
  <c r="Y154" i="1" s="1"/>
  <c r="AE154" i="1" s="1"/>
  <c r="AJ154" i="1" s="1"/>
  <c r="V154" i="1"/>
  <c r="Q154" i="1"/>
  <c r="R154" i="1" s="1"/>
  <c r="M154" i="1"/>
  <c r="EL153" i="1"/>
  <c r="EK153" i="1"/>
  <c r="DT153" i="1"/>
  <c r="DS153" i="1"/>
  <c r="CR153" i="1"/>
  <c r="CQ153" i="1"/>
  <c r="CS153" i="1" s="1"/>
  <c r="CH153" i="1"/>
  <c r="CG153" i="1"/>
  <c r="BT153" i="1"/>
  <c r="BS153" i="1"/>
  <c r="BG153" i="1"/>
  <c r="BF153" i="1"/>
  <c r="AF153" i="1"/>
  <c r="AB153" i="1"/>
  <c r="W153" i="1"/>
  <c r="Y153" i="1" s="1"/>
  <c r="AE153" i="1" s="1"/>
  <c r="V153" i="1"/>
  <c r="Q153" i="1"/>
  <c r="M153" i="1"/>
  <c r="EL152" i="1"/>
  <c r="EK152" i="1"/>
  <c r="DT152" i="1"/>
  <c r="DS152" i="1"/>
  <c r="CR152" i="1"/>
  <c r="CT152" i="1" s="1"/>
  <c r="CQ152" i="1"/>
  <c r="CS152" i="1" s="1"/>
  <c r="CH152" i="1"/>
  <c r="CG152" i="1"/>
  <c r="BT152" i="1"/>
  <c r="BS152" i="1"/>
  <c r="BG152" i="1"/>
  <c r="BF152" i="1"/>
  <c r="AF152" i="1"/>
  <c r="AB152" i="1"/>
  <c r="W152" i="1"/>
  <c r="Y152" i="1" s="1"/>
  <c r="AE152" i="1" s="1"/>
  <c r="V152" i="1"/>
  <c r="Q152" i="1"/>
  <c r="R152" i="1" s="1"/>
  <c r="M152" i="1"/>
  <c r="EL151" i="1"/>
  <c r="EK151" i="1"/>
  <c r="DT151" i="1"/>
  <c r="DS151" i="1"/>
  <c r="CR151" i="1"/>
  <c r="CT151" i="1" s="1"/>
  <c r="CQ151" i="1"/>
  <c r="CS151" i="1" s="1"/>
  <c r="CH151" i="1"/>
  <c r="CG151" i="1"/>
  <c r="BT151" i="1"/>
  <c r="BS151" i="1"/>
  <c r="BG151" i="1"/>
  <c r="BF151" i="1"/>
  <c r="AF151" i="1"/>
  <c r="AB151" i="1"/>
  <c r="W151" i="1"/>
  <c r="Y151" i="1" s="1"/>
  <c r="AE151" i="1" s="1"/>
  <c r="V151" i="1"/>
  <c r="Q151" i="1"/>
  <c r="R151" i="1" s="1"/>
  <c r="M151" i="1"/>
  <c r="EL150" i="1"/>
  <c r="EK150" i="1"/>
  <c r="DT150" i="1"/>
  <c r="DS150" i="1"/>
  <c r="CR150" i="1"/>
  <c r="CT150" i="1" s="1"/>
  <c r="CQ150" i="1"/>
  <c r="CS150" i="1" s="1"/>
  <c r="CH150" i="1"/>
  <c r="CG150" i="1"/>
  <c r="BT150" i="1"/>
  <c r="BS150" i="1"/>
  <c r="BG150" i="1"/>
  <c r="BF150" i="1"/>
  <c r="AF150" i="1"/>
  <c r="AB150" i="1"/>
  <c r="W150" i="1"/>
  <c r="Y150" i="1" s="1"/>
  <c r="AE150" i="1" s="1"/>
  <c r="V150" i="1"/>
  <c r="Q150" i="1"/>
  <c r="M150" i="1"/>
  <c r="EL149" i="1"/>
  <c r="EK149" i="1"/>
  <c r="DT149" i="1"/>
  <c r="DS149" i="1"/>
  <c r="CR149" i="1"/>
  <c r="CT149" i="1" s="1"/>
  <c r="CQ149" i="1"/>
  <c r="CS149" i="1" s="1"/>
  <c r="CH149" i="1"/>
  <c r="CG149" i="1"/>
  <c r="BT149" i="1"/>
  <c r="BS149" i="1"/>
  <c r="BG149" i="1"/>
  <c r="BF149" i="1"/>
  <c r="AF149" i="1"/>
  <c r="AB149" i="1"/>
  <c r="W149" i="1"/>
  <c r="Y149" i="1" s="1"/>
  <c r="AE149" i="1" s="1"/>
  <c r="V149" i="1"/>
  <c r="Q149" i="1"/>
  <c r="M149" i="1"/>
  <c r="EL148" i="1"/>
  <c r="EK148" i="1"/>
  <c r="DT148" i="1"/>
  <c r="DS148" i="1"/>
  <c r="CT148" i="1"/>
  <c r="CR148" i="1"/>
  <c r="CQ148" i="1"/>
  <c r="CH148" i="1"/>
  <c r="CG148" i="1"/>
  <c r="BT148" i="1"/>
  <c r="BS148" i="1"/>
  <c r="BG148" i="1"/>
  <c r="BF148" i="1"/>
  <c r="AF148" i="1"/>
  <c r="AB148" i="1"/>
  <c r="W148" i="1"/>
  <c r="Y148" i="1" s="1"/>
  <c r="AE148" i="1" s="1"/>
  <c r="AJ148" i="1" s="1"/>
  <c r="V148" i="1"/>
  <c r="Q148" i="1"/>
  <c r="R148" i="1" s="1"/>
  <c r="M148" i="1"/>
  <c r="EL147" i="1"/>
  <c r="EK147" i="1"/>
  <c r="DT147" i="1"/>
  <c r="DS147" i="1"/>
  <c r="DL147" i="1"/>
  <c r="DL156" i="1" s="1"/>
  <c r="CQ147" i="1"/>
  <c r="CS147" i="1" s="1"/>
  <c r="CL147" i="1"/>
  <c r="CL156" i="1" s="1"/>
  <c r="CH147" i="1"/>
  <c r="CG147" i="1"/>
  <c r="BT147" i="1"/>
  <c r="BS147" i="1"/>
  <c r="BG147" i="1"/>
  <c r="BF147" i="1"/>
  <c r="AF147" i="1"/>
  <c r="AB147" i="1"/>
  <c r="W147" i="1"/>
  <c r="Y147" i="1" s="1"/>
  <c r="V147" i="1"/>
  <c r="Q147" i="1"/>
  <c r="R147" i="1" s="1"/>
  <c r="M147" i="1"/>
  <c r="FA146" i="1"/>
  <c r="EZ146" i="1"/>
  <c r="EY146" i="1"/>
  <c r="EX146" i="1"/>
  <c r="EW146" i="1"/>
  <c r="ER146" i="1"/>
  <c r="EQ146" i="1"/>
  <c r="EP146" i="1"/>
  <c r="EF146" i="1"/>
  <c r="EE146" i="1"/>
  <c r="EB146" i="1"/>
  <c r="EA146" i="1"/>
  <c r="DX146" i="1"/>
  <c r="DW146" i="1"/>
  <c r="DP146" i="1"/>
  <c r="DO146" i="1"/>
  <c r="DL146" i="1"/>
  <c r="DK146" i="1"/>
  <c r="DD146" i="1"/>
  <c r="DC146" i="1"/>
  <c r="CZ146" i="1"/>
  <c r="CY146" i="1"/>
  <c r="CV146" i="1"/>
  <c r="CP146" i="1"/>
  <c r="CO146" i="1"/>
  <c r="CN146" i="1"/>
  <c r="CM146" i="1"/>
  <c r="CL146" i="1"/>
  <c r="CJ146" i="1"/>
  <c r="CI146" i="1"/>
  <c r="CF146" i="1"/>
  <c r="CE146" i="1"/>
  <c r="CD146" i="1"/>
  <c r="CC146" i="1"/>
  <c r="CB146" i="1"/>
  <c r="CA146" i="1"/>
  <c r="BZ146" i="1"/>
  <c r="BY146" i="1"/>
  <c r="BX146" i="1"/>
  <c r="BW146" i="1"/>
  <c r="BV146" i="1"/>
  <c r="BP146" i="1"/>
  <c r="BO146" i="1"/>
  <c r="BK146" i="1"/>
  <c r="BJ146" i="1"/>
  <c r="BI146" i="1"/>
  <c r="BH146" i="1"/>
  <c r="BC146" i="1"/>
  <c r="BB146" i="1"/>
  <c r="AX146" i="1"/>
  <c r="AW146" i="1"/>
  <c r="AT146" i="1"/>
  <c r="AS146" i="1"/>
  <c r="AP146" i="1"/>
  <c r="AO146" i="1"/>
  <c r="AL146" i="1"/>
  <c r="AK146" i="1"/>
  <c r="AA146" i="1"/>
  <c r="Z146" i="1"/>
  <c r="U146" i="1"/>
  <c r="T146" i="1"/>
  <c r="S146" i="1"/>
  <c r="P146" i="1"/>
  <c r="O146" i="1"/>
  <c r="N146" i="1"/>
  <c r="L146" i="1"/>
  <c r="K146" i="1"/>
  <c r="J146" i="1"/>
  <c r="EO145" i="1"/>
  <c r="EO146" i="1" s="1"/>
  <c r="EL145" i="1"/>
  <c r="EK145" i="1"/>
  <c r="DT145" i="1"/>
  <c r="DS145" i="1"/>
  <c r="DH145" i="1"/>
  <c r="CX145" i="1"/>
  <c r="DB145" i="1" s="1"/>
  <c r="DF145" i="1" s="1"/>
  <c r="CU145" i="1"/>
  <c r="CU146" i="1" s="1"/>
  <c r="CR145" i="1"/>
  <c r="CT145" i="1" s="1"/>
  <c r="CQ145" i="1"/>
  <c r="CS145" i="1" s="1"/>
  <c r="CH145" i="1"/>
  <c r="CG145" i="1"/>
  <c r="BT145" i="1"/>
  <c r="BS145" i="1"/>
  <c r="BG145" i="1"/>
  <c r="BF145" i="1"/>
  <c r="AF145" i="1"/>
  <c r="AB145" i="1"/>
  <c r="W145" i="1"/>
  <c r="Y145" i="1" s="1"/>
  <c r="AE145" i="1" s="1"/>
  <c r="AH145" i="1" s="1"/>
  <c r="V145" i="1"/>
  <c r="Q145" i="1"/>
  <c r="M145" i="1"/>
  <c r="EL144" i="1"/>
  <c r="EK144" i="1"/>
  <c r="DT144" i="1"/>
  <c r="DS144" i="1"/>
  <c r="DH144" i="1"/>
  <c r="DG144" i="1"/>
  <c r="CX144" i="1"/>
  <c r="DB144" i="1" s="1"/>
  <c r="DF144" i="1" s="1"/>
  <c r="CW144" i="1"/>
  <c r="DA144" i="1" s="1"/>
  <c r="DE144" i="1" s="1"/>
  <c r="CR144" i="1"/>
  <c r="CT144" i="1" s="1"/>
  <c r="CQ144" i="1"/>
  <c r="CS144" i="1" s="1"/>
  <c r="CH144" i="1"/>
  <c r="CG144" i="1"/>
  <c r="BT144" i="1"/>
  <c r="BS144" i="1"/>
  <c r="BG144" i="1"/>
  <c r="BF144" i="1"/>
  <c r="AF144" i="1"/>
  <c r="AB144" i="1"/>
  <c r="W144" i="1"/>
  <c r="Y144" i="1" s="1"/>
  <c r="AE144" i="1" s="1"/>
  <c r="V144" i="1"/>
  <c r="Q144" i="1"/>
  <c r="M144" i="1"/>
  <c r="EL143" i="1"/>
  <c r="EK143" i="1"/>
  <c r="EK146" i="1" s="1"/>
  <c r="DT143" i="1"/>
  <c r="DS143" i="1"/>
  <c r="DH143" i="1"/>
  <c r="DG143" i="1"/>
  <c r="CX143" i="1"/>
  <c r="DB143" i="1" s="1"/>
  <c r="DF143" i="1" s="1"/>
  <c r="CW143" i="1"/>
  <c r="CR143" i="1"/>
  <c r="CT143" i="1" s="1"/>
  <c r="CK143" i="1"/>
  <c r="CH143" i="1"/>
  <c r="CH146" i="1" s="1"/>
  <c r="CG143" i="1"/>
  <c r="BT143" i="1"/>
  <c r="BS143" i="1"/>
  <c r="BG143" i="1"/>
  <c r="BF143" i="1"/>
  <c r="AF143" i="1"/>
  <c r="AB143" i="1"/>
  <c r="W143" i="1"/>
  <c r="V143" i="1"/>
  <c r="V146" i="1" s="1"/>
  <c r="Q143" i="1"/>
  <c r="M143" i="1"/>
  <c r="FA142" i="1"/>
  <c r="EZ142" i="1"/>
  <c r="EY142" i="1"/>
  <c r="EX142" i="1"/>
  <c r="EW142" i="1"/>
  <c r="ET142" i="1"/>
  <c r="ES142" i="1"/>
  <c r="ER142" i="1"/>
  <c r="EQ142" i="1"/>
  <c r="EP142" i="1"/>
  <c r="EO142" i="1"/>
  <c r="EF142" i="1"/>
  <c r="EE142" i="1"/>
  <c r="EB142" i="1"/>
  <c r="EA142" i="1"/>
  <c r="DX142" i="1"/>
  <c r="DW142" i="1"/>
  <c r="DP142" i="1"/>
  <c r="DO142" i="1"/>
  <c r="DL142" i="1"/>
  <c r="DK142" i="1"/>
  <c r="DD142" i="1"/>
  <c r="DC142" i="1"/>
  <c r="CZ142" i="1"/>
  <c r="CY142" i="1"/>
  <c r="CU142" i="1"/>
  <c r="CP142" i="1"/>
  <c r="CO142" i="1"/>
  <c r="CN142" i="1"/>
  <c r="CM142" i="1"/>
  <c r="CL142" i="1"/>
  <c r="CK142" i="1"/>
  <c r="CJ142" i="1"/>
  <c r="CI142" i="1"/>
  <c r="CF142" i="1"/>
  <c r="CE142" i="1"/>
  <c r="CD142" i="1"/>
  <c r="CC142" i="1"/>
  <c r="CB142" i="1"/>
  <c r="CA142" i="1"/>
  <c r="BZ142" i="1"/>
  <c r="BY142" i="1"/>
  <c r="BW142" i="1"/>
  <c r="BV142" i="1"/>
  <c r="BP142" i="1"/>
  <c r="BO142" i="1"/>
  <c r="BK142" i="1"/>
  <c r="BJ142" i="1"/>
  <c r="BI142" i="1"/>
  <c r="BH142" i="1"/>
  <c r="BC142" i="1"/>
  <c r="BB142" i="1"/>
  <c r="AX142" i="1"/>
  <c r="AW142" i="1"/>
  <c r="AT142" i="1"/>
  <c r="AS142" i="1"/>
  <c r="AP142" i="1"/>
  <c r="AO142" i="1"/>
  <c r="AL142" i="1"/>
  <c r="AK142" i="1"/>
  <c r="AA142" i="1"/>
  <c r="Z142" i="1"/>
  <c r="U142" i="1"/>
  <c r="T142" i="1"/>
  <c r="S142" i="1"/>
  <c r="P142" i="1"/>
  <c r="O142" i="1"/>
  <c r="N142" i="1"/>
  <c r="L142" i="1"/>
  <c r="K142" i="1"/>
  <c r="J142" i="1"/>
  <c r="EL141" i="1"/>
  <c r="EK141" i="1"/>
  <c r="DT141" i="1"/>
  <c r="DS141" i="1"/>
  <c r="DH141" i="1"/>
  <c r="DG141" i="1"/>
  <c r="CX141" i="1"/>
  <c r="CW141" i="1"/>
  <c r="DA141" i="1" s="1"/>
  <c r="CR141" i="1"/>
  <c r="CT141" i="1" s="1"/>
  <c r="CQ141" i="1"/>
  <c r="CS141" i="1" s="1"/>
  <c r="CH141" i="1"/>
  <c r="CG141" i="1"/>
  <c r="BT141" i="1"/>
  <c r="BS141" i="1"/>
  <c r="BG141" i="1"/>
  <c r="BF141" i="1"/>
  <c r="AF141" i="1"/>
  <c r="AB141" i="1"/>
  <c r="W141" i="1"/>
  <c r="Y141" i="1" s="1"/>
  <c r="AE141" i="1" s="1"/>
  <c r="V141" i="1"/>
  <c r="Q141" i="1"/>
  <c r="M141" i="1"/>
  <c r="EL140" i="1"/>
  <c r="EK140" i="1"/>
  <c r="DT140" i="1"/>
  <c r="DS140" i="1"/>
  <c r="DS142" i="1" s="1"/>
  <c r="DN140" i="1"/>
  <c r="DM140" i="1"/>
  <c r="EC140" i="1" s="1"/>
  <c r="EI140" i="1" s="1"/>
  <c r="CW140" i="1"/>
  <c r="CW142" i="1" s="1"/>
  <c r="CV140" i="1"/>
  <c r="CV142" i="1" s="1"/>
  <c r="CR140" i="1"/>
  <c r="CQ140" i="1"/>
  <c r="CH140" i="1"/>
  <c r="CH142" i="1" s="1"/>
  <c r="CG140" i="1"/>
  <c r="CG142" i="1" s="1"/>
  <c r="BX140" i="1"/>
  <c r="BX142" i="1" s="1"/>
  <c r="BT140" i="1"/>
  <c r="BS140" i="1"/>
  <c r="BG140" i="1"/>
  <c r="BG142" i="1" s="1"/>
  <c r="BF140" i="1"/>
  <c r="BF142" i="1" s="1"/>
  <c r="AF140" i="1"/>
  <c r="AF142" i="1" s="1"/>
  <c r="AB140" i="1"/>
  <c r="W140" i="1"/>
  <c r="V140" i="1"/>
  <c r="V142" i="1" s="1"/>
  <c r="Q140" i="1"/>
  <c r="Q142" i="1" s="1"/>
  <c r="M140" i="1"/>
  <c r="EZ139" i="1"/>
  <c r="EY139" i="1"/>
  <c r="EX139" i="1"/>
  <c r="ET139" i="1"/>
  <c r="ES139" i="1"/>
  <c r="ER139" i="1"/>
  <c r="EQ139" i="1"/>
  <c r="EP139" i="1"/>
  <c r="EO139" i="1"/>
  <c r="EF139" i="1"/>
  <c r="EE139" i="1"/>
  <c r="EB139" i="1"/>
  <c r="EA139" i="1"/>
  <c r="DX139" i="1"/>
  <c r="DW139" i="1"/>
  <c r="DP139" i="1"/>
  <c r="DO139" i="1"/>
  <c r="DL139" i="1"/>
  <c r="DK139" i="1"/>
  <c r="DD139" i="1"/>
  <c r="DC139" i="1"/>
  <c r="CZ139" i="1"/>
  <c r="CY139" i="1"/>
  <c r="CP139" i="1"/>
  <c r="CO139" i="1"/>
  <c r="CN139" i="1"/>
  <c r="CM139" i="1"/>
  <c r="CL139" i="1"/>
  <c r="CK139" i="1"/>
  <c r="CJ139" i="1"/>
  <c r="CI139" i="1"/>
  <c r="CF139" i="1"/>
  <c r="CE139" i="1"/>
  <c r="CD139" i="1"/>
  <c r="CC139" i="1"/>
  <c r="CB139" i="1"/>
  <c r="CA139" i="1"/>
  <c r="BZ139" i="1"/>
  <c r="BY139" i="1"/>
  <c r="BX139" i="1"/>
  <c r="BW139" i="1"/>
  <c r="BV139" i="1"/>
  <c r="BU139" i="1"/>
  <c r="BP139" i="1"/>
  <c r="BO139" i="1"/>
  <c r="BK139" i="1"/>
  <c r="BJ139" i="1"/>
  <c r="BI139" i="1"/>
  <c r="BH139" i="1"/>
  <c r="BC139" i="1"/>
  <c r="BB139" i="1"/>
  <c r="AX139" i="1"/>
  <c r="AW139" i="1"/>
  <c r="AT139" i="1"/>
  <c r="AS139" i="1"/>
  <c r="AP139" i="1"/>
  <c r="AO139" i="1"/>
  <c r="AL139" i="1"/>
  <c r="AK139" i="1"/>
  <c r="AA139" i="1"/>
  <c r="Z139" i="1"/>
  <c r="U139" i="1"/>
  <c r="T139" i="1"/>
  <c r="S139" i="1"/>
  <c r="P139" i="1"/>
  <c r="O139" i="1"/>
  <c r="N139" i="1"/>
  <c r="L139" i="1"/>
  <c r="K139" i="1"/>
  <c r="J139" i="1"/>
  <c r="EW138" i="1"/>
  <c r="EL138" i="1"/>
  <c r="EK138" i="1"/>
  <c r="DT138" i="1"/>
  <c r="DS138" i="1"/>
  <c r="CR138" i="1"/>
  <c r="CT138" i="1" s="1"/>
  <c r="CQ138" i="1"/>
  <c r="CS138" i="1" s="1"/>
  <c r="CH138" i="1"/>
  <c r="CG138" i="1"/>
  <c r="BT138" i="1"/>
  <c r="BS138" i="1"/>
  <c r="BG138" i="1"/>
  <c r="BF138" i="1"/>
  <c r="AF138" i="1"/>
  <c r="AB138" i="1"/>
  <c r="W138" i="1"/>
  <c r="Y138" i="1" s="1"/>
  <c r="AE138" i="1" s="1"/>
  <c r="V138" i="1"/>
  <c r="Q138" i="1"/>
  <c r="R138" i="1" s="1"/>
  <c r="M138" i="1"/>
  <c r="EL137" i="1"/>
  <c r="EK137" i="1"/>
  <c r="DT137" i="1"/>
  <c r="DT139" i="1" s="1"/>
  <c r="DS137" i="1"/>
  <c r="DN137" i="1"/>
  <c r="DM137" i="1"/>
  <c r="DQ137" i="1" s="1"/>
  <c r="CR137" i="1"/>
  <c r="CT137" i="1" s="1"/>
  <c r="CT139" i="1" s="1"/>
  <c r="CQ137" i="1"/>
  <c r="CH137" i="1"/>
  <c r="CG137" i="1"/>
  <c r="BT137" i="1"/>
  <c r="BS137" i="1"/>
  <c r="BG137" i="1"/>
  <c r="BG139" i="1" s="1"/>
  <c r="BF137" i="1"/>
  <c r="AF137" i="1"/>
  <c r="AB137" i="1"/>
  <c r="W137" i="1"/>
  <c r="V137" i="1"/>
  <c r="Q137" i="1"/>
  <c r="M137" i="1"/>
  <c r="M139" i="1" s="1"/>
  <c r="EL136" i="1"/>
  <c r="EK136" i="1"/>
  <c r="DT136" i="1"/>
  <c r="DS136" i="1"/>
  <c r="DH136" i="1"/>
  <c r="DG136" i="1"/>
  <c r="CX136" i="1"/>
  <c r="DB136" i="1" s="1"/>
  <c r="DF136" i="1" s="1"/>
  <c r="CW136" i="1"/>
  <c r="DA136" i="1" s="1"/>
  <c r="DE136" i="1" s="1"/>
  <c r="CR136" i="1"/>
  <c r="CT136" i="1" s="1"/>
  <c r="CQ136" i="1"/>
  <c r="CS136" i="1" s="1"/>
  <c r="CH136" i="1"/>
  <c r="CG136" i="1"/>
  <c r="BT136" i="1"/>
  <c r="BS136" i="1"/>
  <c r="BG136" i="1"/>
  <c r="BF136" i="1"/>
  <c r="AF136" i="1"/>
  <c r="AB136" i="1"/>
  <c r="W136" i="1"/>
  <c r="Y136" i="1" s="1"/>
  <c r="AE136" i="1" s="1"/>
  <c r="V136" i="1"/>
  <c r="Q136" i="1"/>
  <c r="M136" i="1"/>
  <c r="EZ134" i="1"/>
  <c r="EY134" i="1"/>
  <c r="EX134" i="1"/>
  <c r="EW134" i="1"/>
  <c r="ET134" i="1"/>
  <c r="ES134" i="1"/>
  <c r="ER134" i="1"/>
  <c r="EQ134" i="1"/>
  <c r="EP134" i="1"/>
  <c r="EO134" i="1"/>
  <c r="EF134" i="1"/>
  <c r="EE134" i="1"/>
  <c r="EB134" i="1"/>
  <c r="EA134" i="1"/>
  <c r="DX134" i="1"/>
  <c r="DW134" i="1"/>
  <c r="DP134" i="1"/>
  <c r="DO134" i="1"/>
  <c r="DL134" i="1"/>
  <c r="DK134" i="1"/>
  <c r="DD134" i="1"/>
  <c r="DC134" i="1"/>
  <c r="CZ134" i="1"/>
  <c r="CY134" i="1"/>
  <c r="CV134" i="1"/>
  <c r="CU134" i="1"/>
  <c r="CP134" i="1"/>
  <c r="CO134" i="1"/>
  <c r="CN134" i="1"/>
  <c r="CM134" i="1"/>
  <c r="CL134" i="1"/>
  <c r="CJ134" i="1"/>
  <c r="CI134" i="1"/>
  <c r="CF134" i="1"/>
  <c r="CE134" i="1"/>
  <c r="CD134" i="1"/>
  <c r="CC134" i="1"/>
  <c r="CB134" i="1"/>
  <c r="CA134" i="1"/>
  <c r="BZ134" i="1"/>
  <c r="BY134" i="1"/>
  <c r="BX134" i="1"/>
  <c r="BW134" i="1"/>
  <c r="BU134" i="1"/>
  <c r="BP134" i="1"/>
  <c r="BO134" i="1"/>
  <c r="BK134" i="1"/>
  <c r="BJ134" i="1"/>
  <c r="BI134" i="1"/>
  <c r="BH134" i="1"/>
  <c r="BC134" i="1"/>
  <c r="BB134" i="1"/>
  <c r="AX134" i="1"/>
  <c r="AW134" i="1"/>
  <c r="AT134" i="1"/>
  <c r="AS134" i="1"/>
  <c r="AP134" i="1"/>
  <c r="AO134" i="1"/>
  <c r="AL134" i="1"/>
  <c r="AK134" i="1"/>
  <c r="AA134" i="1"/>
  <c r="Z134" i="1"/>
  <c r="U134" i="1"/>
  <c r="T134" i="1"/>
  <c r="S134" i="1"/>
  <c r="P134" i="1"/>
  <c r="O134" i="1"/>
  <c r="N134" i="1"/>
  <c r="L134" i="1"/>
  <c r="K134" i="1"/>
  <c r="J134" i="1"/>
  <c r="EL133" i="1"/>
  <c r="EK133" i="1"/>
  <c r="DT133" i="1"/>
  <c r="DS133" i="1"/>
  <c r="DH133" i="1"/>
  <c r="DG133" i="1"/>
  <c r="CX133" i="1"/>
  <c r="DB133" i="1" s="1"/>
  <c r="DF133" i="1" s="1"/>
  <c r="CW133" i="1"/>
  <c r="CR133" i="1"/>
  <c r="CT133" i="1" s="1"/>
  <c r="CK133" i="1"/>
  <c r="CQ133" i="1" s="1"/>
  <c r="CH133" i="1"/>
  <c r="CG133" i="1"/>
  <c r="BT133" i="1"/>
  <c r="BS133" i="1"/>
  <c r="BG133" i="1"/>
  <c r="BF133" i="1"/>
  <c r="AF133" i="1"/>
  <c r="AB133" i="1"/>
  <c r="W133" i="1"/>
  <c r="Y133" i="1" s="1"/>
  <c r="AE133" i="1" s="1"/>
  <c r="AJ133" i="1" s="1"/>
  <c r="V133" i="1"/>
  <c r="Q133" i="1"/>
  <c r="M133" i="1"/>
  <c r="EL132" i="1"/>
  <c r="EK132" i="1"/>
  <c r="EK134" i="1" s="1"/>
  <c r="DT132" i="1"/>
  <c r="DS132" i="1"/>
  <c r="DH132" i="1"/>
  <c r="DG132" i="1"/>
  <c r="DG134" i="1" s="1"/>
  <c r="CX132" i="1"/>
  <c r="CW132" i="1"/>
  <c r="DA132" i="1" s="1"/>
  <c r="DE132" i="1" s="1"/>
  <c r="DI132" i="1" s="1"/>
  <c r="DM132" i="1" s="1"/>
  <c r="DQ132" i="1" s="1"/>
  <c r="CR132" i="1"/>
  <c r="CQ132" i="1"/>
  <c r="CS132" i="1" s="1"/>
  <c r="CH132" i="1"/>
  <c r="CG132" i="1"/>
  <c r="CG134" i="1" s="1"/>
  <c r="BT132" i="1"/>
  <c r="BT134" i="1" s="1"/>
  <c r="BS132" i="1"/>
  <c r="BS134" i="1" s="1"/>
  <c r="BG132" i="1"/>
  <c r="BF132" i="1"/>
  <c r="AF132" i="1"/>
  <c r="AB132" i="1"/>
  <c r="W132" i="1"/>
  <c r="Y132" i="1" s="1"/>
  <c r="Y134" i="1" s="1"/>
  <c r="V132" i="1"/>
  <c r="Q132" i="1"/>
  <c r="Q134" i="1" s="1"/>
  <c r="M132" i="1"/>
  <c r="M134" i="1" s="1"/>
  <c r="EL131" i="1"/>
  <c r="EK131" i="1"/>
  <c r="DT131" i="1"/>
  <c r="DS131" i="1"/>
  <c r="DH131" i="1"/>
  <c r="DG131" i="1"/>
  <c r="CX131" i="1"/>
  <c r="DB131" i="1" s="1"/>
  <c r="DF131" i="1" s="1"/>
  <c r="CW131" i="1"/>
  <c r="DA131" i="1" s="1"/>
  <c r="DE131" i="1" s="1"/>
  <c r="CR131" i="1"/>
  <c r="CT131" i="1" s="1"/>
  <c r="CQ131" i="1"/>
  <c r="CS131" i="1" s="1"/>
  <c r="CH131" i="1"/>
  <c r="CG131" i="1"/>
  <c r="BT131" i="1"/>
  <c r="BS131" i="1"/>
  <c r="BG131" i="1"/>
  <c r="BF131" i="1"/>
  <c r="AF131" i="1"/>
  <c r="AB131" i="1"/>
  <c r="W131" i="1"/>
  <c r="Y131" i="1" s="1"/>
  <c r="AE131" i="1" s="1"/>
  <c r="V131" i="1"/>
  <c r="Q131" i="1"/>
  <c r="M131" i="1"/>
  <c r="EL130" i="1"/>
  <c r="EK130" i="1"/>
  <c r="DT130" i="1"/>
  <c r="DS130" i="1"/>
  <c r="DH130" i="1"/>
  <c r="DG130" i="1"/>
  <c r="DB130" i="1"/>
  <c r="CW130" i="1"/>
  <c r="DA130" i="1" s="1"/>
  <c r="DE130" i="1" s="1"/>
  <c r="CR130" i="1"/>
  <c r="CT130" i="1" s="1"/>
  <c r="CQ130" i="1"/>
  <c r="CS130" i="1" s="1"/>
  <c r="CH130" i="1"/>
  <c r="CG130" i="1"/>
  <c r="BT130" i="1"/>
  <c r="BS130" i="1"/>
  <c r="BG130" i="1"/>
  <c r="BF130" i="1"/>
  <c r="AF130" i="1"/>
  <c r="AB130" i="1"/>
  <c r="W130" i="1"/>
  <c r="Y130" i="1" s="1"/>
  <c r="AE130" i="1" s="1"/>
  <c r="AJ130" i="1" s="1"/>
  <c r="V130" i="1"/>
  <c r="Q130" i="1"/>
  <c r="M130" i="1"/>
  <c r="EL129" i="1"/>
  <c r="EK129" i="1"/>
  <c r="DT129" i="1"/>
  <c r="DS129" i="1"/>
  <c r="CR129" i="1"/>
  <c r="CT129" i="1" s="1"/>
  <c r="CQ129" i="1"/>
  <c r="CH129" i="1"/>
  <c r="CG129" i="1"/>
  <c r="BU129" i="1"/>
  <c r="BT129" i="1"/>
  <c r="BS129" i="1"/>
  <c r="BG129" i="1"/>
  <c r="BF129" i="1"/>
  <c r="AF129" i="1"/>
  <c r="AB129" i="1"/>
  <c r="W129" i="1"/>
  <c r="Y129" i="1" s="1"/>
  <c r="AE129" i="1" s="1"/>
  <c r="V129" i="1"/>
  <c r="Q129" i="1"/>
  <c r="M129" i="1"/>
  <c r="EL128" i="1"/>
  <c r="EK128" i="1"/>
  <c r="DT128" i="1"/>
  <c r="DS128" i="1"/>
  <c r="CR128" i="1"/>
  <c r="CT128" i="1" s="1"/>
  <c r="CQ128" i="1"/>
  <c r="CS128" i="1" s="1"/>
  <c r="CH128" i="1"/>
  <c r="CG128" i="1"/>
  <c r="BT128" i="1"/>
  <c r="BS128" i="1"/>
  <c r="BG128" i="1"/>
  <c r="BF128" i="1"/>
  <c r="AF128" i="1"/>
  <c r="AB128" i="1"/>
  <c r="W128" i="1"/>
  <c r="Y128" i="1" s="1"/>
  <c r="AE128" i="1" s="1"/>
  <c r="AJ128" i="1" s="1"/>
  <c r="V128" i="1"/>
  <c r="Q128" i="1"/>
  <c r="M128" i="1"/>
  <c r="EW127" i="1"/>
  <c r="DG127" i="1" s="1"/>
  <c r="EL127" i="1"/>
  <c r="EK127" i="1"/>
  <c r="DT127" i="1"/>
  <c r="DS127" i="1"/>
  <c r="DH127" i="1"/>
  <c r="CX127" i="1"/>
  <c r="DB127" i="1" s="1"/>
  <c r="DF127" i="1" s="1"/>
  <c r="DJ127" i="1" s="1"/>
  <c r="DN127" i="1" s="1"/>
  <c r="DR127" i="1" s="1"/>
  <c r="CW127" i="1"/>
  <c r="CL127" i="1"/>
  <c r="CR127" i="1" s="1"/>
  <c r="CT127" i="1" s="1"/>
  <c r="CK127" i="1"/>
  <c r="CH127" i="1"/>
  <c r="CG127" i="1"/>
  <c r="BT127" i="1"/>
  <c r="BS127" i="1"/>
  <c r="BG127" i="1"/>
  <c r="BF127" i="1"/>
  <c r="AF127" i="1"/>
  <c r="AB127" i="1"/>
  <c r="W127" i="1"/>
  <c r="Y127" i="1" s="1"/>
  <c r="AE127" i="1" s="1"/>
  <c r="V127" i="1"/>
  <c r="Q127" i="1"/>
  <c r="M127" i="1"/>
  <c r="EL126" i="1"/>
  <c r="EK126" i="1"/>
  <c r="DT126" i="1"/>
  <c r="DS126" i="1"/>
  <c r="CR126" i="1"/>
  <c r="CT126" i="1" s="1"/>
  <c r="CQ126" i="1"/>
  <c r="CS126" i="1" s="1"/>
  <c r="CH126" i="1"/>
  <c r="CG126" i="1"/>
  <c r="BT126" i="1"/>
  <c r="BS126" i="1"/>
  <c r="BG126" i="1"/>
  <c r="BF126" i="1"/>
  <c r="AF126" i="1"/>
  <c r="AB126" i="1"/>
  <c r="W126" i="1"/>
  <c r="Y126" i="1" s="1"/>
  <c r="AE126" i="1" s="1"/>
  <c r="V126" i="1"/>
  <c r="Q126" i="1"/>
  <c r="R126" i="1" s="1"/>
  <c r="X126" i="1" s="1"/>
  <c r="AD126" i="1" s="1"/>
  <c r="AI126" i="1" s="1"/>
  <c r="M126" i="1"/>
  <c r="FC125" i="1"/>
  <c r="FB125" i="1"/>
  <c r="FA125" i="1"/>
  <c r="EZ125" i="1"/>
  <c r="EY125" i="1"/>
  <c r="EX125" i="1"/>
  <c r="EW125" i="1"/>
  <c r="ET125" i="1"/>
  <c r="ES125" i="1"/>
  <c r="ER125" i="1"/>
  <c r="EQ125" i="1"/>
  <c r="EP125" i="1"/>
  <c r="EO125" i="1"/>
  <c r="EF125" i="1"/>
  <c r="EE125" i="1"/>
  <c r="EB125" i="1"/>
  <c r="EA125" i="1"/>
  <c r="DX125" i="1"/>
  <c r="DW125" i="1"/>
  <c r="DP125" i="1"/>
  <c r="DO125" i="1"/>
  <c r="DL125" i="1"/>
  <c r="DK125" i="1"/>
  <c r="DD125" i="1"/>
  <c r="DC125" i="1"/>
  <c r="CZ125" i="1"/>
  <c r="CY125" i="1"/>
  <c r="CV125" i="1"/>
  <c r="CU125" i="1"/>
  <c r="CP125" i="1"/>
  <c r="CO125" i="1"/>
  <c r="CN125" i="1"/>
  <c r="CM125" i="1"/>
  <c r="CL125" i="1"/>
  <c r="CK125" i="1"/>
  <c r="CJ125" i="1"/>
  <c r="CI125" i="1"/>
  <c r="CF125" i="1"/>
  <c r="CE125" i="1"/>
  <c r="CD125" i="1"/>
  <c r="CC125" i="1"/>
  <c r="CB125" i="1"/>
  <c r="CA125" i="1"/>
  <c r="BZ125" i="1"/>
  <c r="BY125" i="1"/>
  <c r="BX125" i="1"/>
  <c r="BW125" i="1"/>
  <c r="BU125" i="1"/>
  <c r="BP125" i="1"/>
  <c r="BO125" i="1"/>
  <c r="BK125" i="1"/>
  <c r="BJ125" i="1"/>
  <c r="BI125" i="1"/>
  <c r="BH125" i="1"/>
  <c r="BC125" i="1"/>
  <c r="BB125" i="1"/>
  <c r="AX125" i="1"/>
  <c r="AW125" i="1"/>
  <c r="AT125" i="1"/>
  <c r="AS125" i="1"/>
  <c r="AP125" i="1"/>
  <c r="AO125" i="1"/>
  <c r="AL125" i="1"/>
  <c r="AK125" i="1"/>
  <c r="AA125" i="1"/>
  <c r="Z125" i="1"/>
  <c r="U125" i="1"/>
  <c r="T125" i="1"/>
  <c r="S125" i="1"/>
  <c r="P125" i="1"/>
  <c r="O125" i="1"/>
  <c r="N125" i="1"/>
  <c r="L125" i="1"/>
  <c r="K125" i="1"/>
  <c r="J125" i="1"/>
  <c r="EL124" i="1"/>
  <c r="EK124" i="1"/>
  <c r="DT124" i="1"/>
  <c r="DS124" i="1"/>
  <c r="DH124" i="1"/>
  <c r="DG124" i="1"/>
  <c r="CX124" i="1"/>
  <c r="DB124" i="1" s="1"/>
  <c r="DF124" i="1" s="1"/>
  <c r="DJ124" i="1" s="1"/>
  <c r="DN124" i="1" s="1"/>
  <c r="DR124" i="1" s="1"/>
  <c r="CW124" i="1"/>
  <c r="DA124" i="1" s="1"/>
  <c r="DE124" i="1" s="1"/>
  <c r="CR124" i="1"/>
  <c r="CT124" i="1" s="1"/>
  <c r="CQ124" i="1"/>
  <c r="CS124" i="1" s="1"/>
  <c r="CH124" i="1"/>
  <c r="CG124" i="1"/>
  <c r="BT124" i="1"/>
  <c r="BS124" i="1"/>
  <c r="BG124" i="1"/>
  <c r="BF124" i="1"/>
  <c r="AF124" i="1"/>
  <c r="AB124" i="1"/>
  <c r="W124" i="1"/>
  <c r="Y124" i="1" s="1"/>
  <c r="AE124" i="1" s="1"/>
  <c r="AJ124" i="1" s="1"/>
  <c r="V124" i="1"/>
  <c r="Q124" i="1"/>
  <c r="M124" i="1"/>
  <c r="EL123" i="1"/>
  <c r="EK123" i="1"/>
  <c r="DT123" i="1"/>
  <c r="DS123" i="1"/>
  <c r="DH123" i="1"/>
  <c r="DH125" i="1" s="1"/>
  <c r="DG123" i="1"/>
  <c r="CX123" i="1"/>
  <c r="CW123" i="1"/>
  <c r="DA123" i="1" s="1"/>
  <c r="CR123" i="1"/>
  <c r="CR125" i="1" s="1"/>
  <c r="CQ123" i="1"/>
  <c r="CQ125" i="1" s="1"/>
  <c r="CH123" i="1"/>
  <c r="CH125" i="1" s="1"/>
  <c r="CG123" i="1"/>
  <c r="BT123" i="1"/>
  <c r="BS123" i="1"/>
  <c r="BS125" i="1" s="1"/>
  <c r="BG123" i="1"/>
  <c r="BF123" i="1"/>
  <c r="BF125" i="1" s="1"/>
  <c r="AF123" i="1"/>
  <c r="AB123" i="1"/>
  <c r="W123" i="1"/>
  <c r="V123" i="1"/>
  <c r="Q123" i="1"/>
  <c r="Q125" i="1" s="1"/>
  <c r="M123" i="1"/>
  <c r="FF122" i="1"/>
  <c r="FE122" i="1"/>
  <c r="FD122" i="1"/>
  <c r="FC122" i="1"/>
  <c r="FB122" i="1"/>
  <c r="FA122" i="1"/>
  <c r="EZ122" i="1"/>
  <c r="EY122" i="1"/>
  <c r="EX122" i="1"/>
  <c r="EW122" i="1"/>
  <c r="ET122" i="1"/>
  <c r="ES122" i="1"/>
  <c r="EQ122" i="1"/>
  <c r="EP122" i="1"/>
  <c r="EO122" i="1"/>
  <c r="EF122" i="1"/>
  <c r="EE122" i="1"/>
  <c r="EB122" i="1"/>
  <c r="EA122" i="1"/>
  <c r="DY122" i="1"/>
  <c r="DX122" i="1"/>
  <c r="DW122" i="1"/>
  <c r="DP122" i="1"/>
  <c r="DO122" i="1"/>
  <c r="DL122" i="1"/>
  <c r="DK122" i="1"/>
  <c r="DD122" i="1"/>
  <c r="DC122" i="1"/>
  <c r="CZ122" i="1"/>
  <c r="CY122" i="1"/>
  <c r="CP122" i="1"/>
  <c r="CO122" i="1"/>
  <c r="CN122" i="1"/>
  <c r="CM122" i="1"/>
  <c r="CL122" i="1"/>
  <c r="CK122" i="1"/>
  <c r="CJ122" i="1"/>
  <c r="CI122" i="1"/>
  <c r="CF122" i="1"/>
  <c r="CE122" i="1"/>
  <c r="CD122" i="1"/>
  <c r="CC122" i="1"/>
  <c r="CB122" i="1"/>
  <c r="CA122" i="1"/>
  <c r="BZ122" i="1"/>
  <c r="BY122" i="1"/>
  <c r="BX122" i="1"/>
  <c r="BW122" i="1"/>
  <c r="BP122" i="1"/>
  <c r="BO122" i="1"/>
  <c r="BK122" i="1"/>
  <c r="BJ122" i="1"/>
  <c r="BI122" i="1"/>
  <c r="BH122" i="1"/>
  <c r="BC122" i="1"/>
  <c r="BB122" i="1"/>
  <c r="AW122" i="1"/>
  <c r="AT122" i="1"/>
  <c r="AS122" i="1"/>
  <c r="AP122" i="1"/>
  <c r="AO122" i="1"/>
  <c r="AL122" i="1"/>
  <c r="AK122" i="1"/>
  <c r="AA122" i="1"/>
  <c r="Z122" i="1"/>
  <c r="AB122" i="1" s="1"/>
  <c r="U122" i="1"/>
  <c r="T122" i="1"/>
  <c r="S122" i="1"/>
  <c r="P122" i="1"/>
  <c r="O122" i="1"/>
  <c r="N122" i="1"/>
  <c r="L122" i="1"/>
  <c r="K122" i="1"/>
  <c r="J122" i="1"/>
  <c r="EL121" i="1"/>
  <c r="EK121" i="1"/>
  <c r="DT121" i="1"/>
  <c r="DS121" i="1"/>
  <c r="CR121" i="1"/>
  <c r="CT121" i="1" s="1"/>
  <c r="CQ121" i="1"/>
  <c r="CS121" i="1" s="1"/>
  <c r="CH121" i="1"/>
  <c r="CG121" i="1"/>
  <c r="BT121" i="1"/>
  <c r="BS121" i="1"/>
  <c r="BG121" i="1"/>
  <c r="BF121" i="1"/>
  <c r="AF121" i="1"/>
  <c r="AB121" i="1"/>
  <c r="W121" i="1"/>
  <c r="Y121" i="1" s="1"/>
  <c r="AE121" i="1" s="1"/>
  <c r="V121" i="1"/>
  <c r="Q121" i="1"/>
  <c r="M121" i="1"/>
  <c r="EL120" i="1"/>
  <c r="EK120" i="1"/>
  <c r="EK122" i="1" s="1"/>
  <c r="DT120" i="1"/>
  <c r="DS120" i="1"/>
  <c r="CR120" i="1"/>
  <c r="CQ120" i="1"/>
  <c r="CQ122" i="1" s="1"/>
  <c r="CH120" i="1"/>
  <c r="CH122" i="1" s="1"/>
  <c r="CG120" i="1"/>
  <c r="BT120" i="1"/>
  <c r="BS120" i="1"/>
  <c r="BS122" i="1" s="1"/>
  <c r="BG120" i="1"/>
  <c r="BF120" i="1"/>
  <c r="BF122" i="1" s="1"/>
  <c r="AX120" i="1"/>
  <c r="AX122" i="1" s="1"/>
  <c r="AF120" i="1"/>
  <c r="AF122" i="1" s="1"/>
  <c r="AB120" i="1"/>
  <c r="W120" i="1"/>
  <c r="V120" i="1"/>
  <c r="Q120" i="1"/>
  <c r="M120" i="1"/>
  <c r="EL119" i="1"/>
  <c r="EK119" i="1"/>
  <c r="DT119" i="1"/>
  <c r="DS119" i="1"/>
  <c r="DN119" i="1"/>
  <c r="DR119" i="1" s="1"/>
  <c r="DM119" i="1"/>
  <c r="DQ119" i="1" s="1"/>
  <c r="CV119" i="1"/>
  <c r="CR119" i="1"/>
  <c r="CT119" i="1" s="1"/>
  <c r="CQ119" i="1"/>
  <c r="CS119" i="1" s="1"/>
  <c r="CH119" i="1"/>
  <c r="CG119" i="1"/>
  <c r="BT119" i="1"/>
  <c r="BS119" i="1"/>
  <c r="BG119" i="1"/>
  <c r="BF119" i="1"/>
  <c r="AF119" i="1"/>
  <c r="AB119" i="1"/>
  <c r="W119" i="1"/>
  <c r="Y119" i="1" s="1"/>
  <c r="AE119" i="1" s="1"/>
  <c r="AJ119" i="1" s="1"/>
  <c r="V119" i="1"/>
  <c r="Q119" i="1"/>
  <c r="R119" i="1" s="1"/>
  <c r="M119" i="1"/>
  <c r="EL118" i="1"/>
  <c r="EK118" i="1"/>
  <c r="DT118" i="1"/>
  <c r="DS118" i="1"/>
  <c r="CL118" i="1"/>
  <c r="CR118" i="1" s="1"/>
  <c r="CT118" i="1" s="1"/>
  <c r="CK118" i="1"/>
  <c r="CQ118" i="1" s="1"/>
  <c r="CH118" i="1"/>
  <c r="CG118" i="1"/>
  <c r="BT118" i="1"/>
  <c r="BS118" i="1"/>
  <c r="BG118" i="1"/>
  <c r="BF118" i="1"/>
  <c r="AF118" i="1"/>
  <c r="AB118" i="1"/>
  <c r="W118" i="1"/>
  <c r="Y118" i="1" s="1"/>
  <c r="AE118" i="1" s="1"/>
  <c r="AJ118" i="1" s="1"/>
  <c r="V118" i="1"/>
  <c r="Q118" i="1"/>
  <c r="M118" i="1"/>
  <c r="FF117" i="1"/>
  <c r="FE117" i="1"/>
  <c r="FD117" i="1"/>
  <c r="FC117" i="1"/>
  <c r="FB117" i="1"/>
  <c r="FA117" i="1"/>
  <c r="EZ117" i="1"/>
  <c r="EY117" i="1"/>
  <c r="EX117" i="1"/>
  <c r="EW117" i="1"/>
  <c r="ET117" i="1"/>
  <c r="ES117" i="1"/>
  <c r="ER117" i="1"/>
  <c r="EQ117" i="1"/>
  <c r="EP117" i="1"/>
  <c r="EO117" i="1"/>
  <c r="EF117" i="1"/>
  <c r="EE117" i="1"/>
  <c r="EB117" i="1"/>
  <c r="EA117" i="1"/>
  <c r="DX117" i="1"/>
  <c r="DW117" i="1"/>
  <c r="DP117" i="1"/>
  <c r="DO117" i="1"/>
  <c r="DL117" i="1"/>
  <c r="DK117" i="1"/>
  <c r="DD117" i="1"/>
  <c r="DC117" i="1"/>
  <c r="CZ117" i="1"/>
  <c r="CY117" i="1"/>
  <c r="CV117" i="1"/>
  <c r="CU117" i="1"/>
  <c r="CP117" i="1"/>
  <c r="CO117" i="1"/>
  <c r="CN117" i="1"/>
  <c r="CM117" i="1"/>
  <c r="CJ117" i="1"/>
  <c r="CI117" i="1"/>
  <c r="CF117" i="1"/>
  <c r="CE117" i="1"/>
  <c r="CD117" i="1"/>
  <c r="CC117" i="1"/>
  <c r="CB117" i="1"/>
  <c r="CA117" i="1"/>
  <c r="BZ117" i="1"/>
  <c r="BY117" i="1"/>
  <c r="BX117" i="1"/>
  <c r="BW117" i="1"/>
  <c r="BP117" i="1"/>
  <c r="BO117" i="1"/>
  <c r="BK117" i="1"/>
  <c r="BJ117" i="1"/>
  <c r="BI117" i="1"/>
  <c r="BH117" i="1"/>
  <c r="BC117" i="1"/>
  <c r="BB117" i="1"/>
  <c r="AX117" i="1"/>
  <c r="AW117" i="1"/>
  <c r="AT117" i="1"/>
  <c r="AS117" i="1"/>
  <c r="AP117" i="1"/>
  <c r="AO117" i="1"/>
  <c r="AL117" i="1"/>
  <c r="AK117" i="1"/>
  <c r="AA117" i="1"/>
  <c r="Z117" i="1"/>
  <c r="U117" i="1"/>
  <c r="T117" i="1"/>
  <c r="S117" i="1"/>
  <c r="P117" i="1"/>
  <c r="O117" i="1"/>
  <c r="N117" i="1"/>
  <c r="L117" i="1"/>
  <c r="K117" i="1"/>
  <c r="J117" i="1"/>
  <c r="EL116" i="1"/>
  <c r="EK116" i="1"/>
  <c r="DT116" i="1"/>
  <c r="DS116" i="1"/>
  <c r="DH116" i="1"/>
  <c r="DG116" i="1"/>
  <c r="CX116" i="1"/>
  <c r="DB116" i="1" s="1"/>
  <c r="DF116" i="1" s="1"/>
  <c r="CW116" i="1"/>
  <c r="DA116" i="1" s="1"/>
  <c r="DE116" i="1" s="1"/>
  <c r="CR116" i="1"/>
  <c r="CT116" i="1" s="1"/>
  <c r="CK116" i="1"/>
  <c r="CK117" i="1" s="1"/>
  <c r="CH116" i="1"/>
  <c r="CG116" i="1"/>
  <c r="BU116" i="1"/>
  <c r="BU117" i="1" s="1"/>
  <c r="BT116" i="1"/>
  <c r="BS116" i="1"/>
  <c r="BG116" i="1"/>
  <c r="BF116" i="1"/>
  <c r="AF116" i="1"/>
  <c r="AB116" i="1"/>
  <c r="W116" i="1"/>
  <c r="Y116" i="1" s="1"/>
  <c r="AE116" i="1" s="1"/>
  <c r="V116" i="1"/>
  <c r="Q116" i="1"/>
  <c r="R116" i="1" s="1"/>
  <c r="M116" i="1"/>
  <c r="EL115" i="1"/>
  <c r="EL117" i="1" s="1"/>
  <c r="EK115" i="1"/>
  <c r="DT115" i="1"/>
  <c r="DT117" i="1" s="1"/>
  <c r="DS115" i="1"/>
  <c r="DS117" i="1" s="1"/>
  <c r="DH115" i="1"/>
  <c r="DG115" i="1"/>
  <c r="CX115" i="1"/>
  <c r="CW115" i="1"/>
  <c r="CQ115" i="1"/>
  <c r="CS115" i="1" s="1"/>
  <c r="CL115" i="1"/>
  <c r="CH115" i="1"/>
  <c r="CG115" i="1"/>
  <c r="BT115" i="1"/>
  <c r="BT117" i="1" s="1"/>
  <c r="BS115" i="1"/>
  <c r="BG115" i="1"/>
  <c r="BG117" i="1" s="1"/>
  <c r="BF115" i="1"/>
  <c r="BF117" i="1" s="1"/>
  <c r="AF115" i="1"/>
  <c r="AF117" i="1" s="1"/>
  <c r="AB115" i="1"/>
  <c r="W115" i="1"/>
  <c r="Y115" i="1" s="1"/>
  <c r="V115" i="1"/>
  <c r="Q115" i="1"/>
  <c r="M115" i="1"/>
  <c r="M117" i="1" s="1"/>
  <c r="EL114" i="1"/>
  <c r="EK114" i="1"/>
  <c r="DT114" i="1"/>
  <c r="DS114" i="1"/>
  <c r="DH114" i="1"/>
  <c r="DG114" i="1"/>
  <c r="CX114" i="1"/>
  <c r="DB114" i="1" s="1"/>
  <c r="DF114" i="1" s="1"/>
  <c r="CW114" i="1"/>
  <c r="DA114" i="1" s="1"/>
  <c r="DE114" i="1" s="1"/>
  <c r="DI114" i="1" s="1"/>
  <c r="DM114" i="1" s="1"/>
  <c r="DQ114" i="1" s="1"/>
  <c r="CR114" i="1"/>
  <c r="CT114" i="1" s="1"/>
  <c r="CQ114" i="1"/>
  <c r="CS114" i="1" s="1"/>
  <c r="CH114" i="1"/>
  <c r="CG114" i="1"/>
  <c r="BT114" i="1"/>
  <c r="BS114" i="1"/>
  <c r="BG114" i="1"/>
  <c r="BF114" i="1"/>
  <c r="AF114" i="1"/>
  <c r="AB114" i="1"/>
  <c r="W114" i="1"/>
  <c r="Y114" i="1" s="1"/>
  <c r="AE114" i="1" s="1"/>
  <c r="AJ114" i="1" s="1"/>
  <c r="V114" i="1"/>
  <c r="Q114" i="1"/>
  <c r="M114" i="1"/>
  <c r="FF113" i="1"/>
  <c r="FE113" i="1"/>
  <c r="FD113" i="1"/>
  <c r="FC113" i="1"/>
  <c r="FB113" i="1"/>
  <c r="FA113" i="1"/>
  <c r="EZ113" i="1"/>
  <c r="EX113" i="1"/>
  <c r="ET113" i="1"/>
  <c r="ES113" i="1"/>
  <c r="EP113" i="1"/>
  <c r="EO113" i="1"/>
  <c r="EF113" i="1"/>
  <c r="EE113" i="1"/>
  <c r="EB113" i="1"/>
  <c r="EA113" i="1"/>
  <c r="DX113" i="1"/>
  <c r="DW113" i="1"/>
  <c r="DP113" i="1"/>
  <c r="DO113" i="1"/>
  <c r="DL113" i="1"/>
  <c r="DK113" i="1"/>
  <c r="DD113" i="1"/>
  <c r="DC113" i="1"/>
  <c r="CZ113" i="1"/>
  <c r="CY113" i="1"/>
  <c r="CV113" i="1"/>
  <c r="CU113" i="1"/>
  <c r="CP113" i="1"/>
  <c r="CO113" i="1"/>
  <c r="CN113" i="1"/>
  <c r="CM113" i="1"/>
  <c r="CL113" i="1"/>
  <c r="CJ113" i="1"/>
  <c r="CI113" i="1"/>
  <c r="CF113" i="1"/>
  <c r="CE113" i="1"/>
  <c r="CD113" i="1"/>
  <c r="CC113" i="1"/>
  <c r="CB113" i="1"/>
  <c r="CA113" i="1"/>
  <c r="BZ113" i="1"/>
  <c r="BY113" i="1"/>
  <c r="BX113" i="1"/>
  <c r="BW113" i="1"/>
  <c r="BP113" i="1"/>
  <c r="BO113" i="1"/>
  <c r="BK113" i="1"/>
  <c r="BJ113" i="1"/>
  <c r="BI113" i="1"/>
  <c r="BH113" i="1"/>
  <c r="BC113" i="1"/>
  <c r="BB113" i="1"/>
  <c r="AX113" i="1"/>
  <c r="AW113" i="1"/>
  <c r="AT113" i="1"/>
  <c r="AS113" i="1"/>
  <c r="AP113" i="1"/>
  <c r="AO113" i="1"/>
  <c r="AL113" i="1"/>
  <c r="AK113" i="1"/>
  <c r="AA113" i="1"/>
  <c r="Z113" i="1"/>
  <c r="U113" i="1"/>
  <c r="T113" i="1"/>
  <c r="S113" i="1"/>
  <c r="P113" i="1"/>
  <c r="O113" i="1"/>
  <c r="N113" i="1"/>
  <c r="L113" i="1"/>
  <c r="K113" i="1"/>
  <c r="J113" i="1"/>
  <c r="EY112" i="1"/>
  <c r="EY113" i="1" s="1"/>
  <c r="EW112" i="1"/>
  <c r="DG112" i="1" s="1"/>
  <c r="EL112" i="1"/>
  <c r="EK112" i="1"/>
  <c r="DT112" i="1"/>
  <c r="DS112" i="1"/>
  <c r="DH112" i="1"/>
  <c r="CX112" i="1"/>
  <c r="CX113" i="1" s="1"/>
  <c r="CW112" i="1"/>
  <c r="CR112" i="1"/>
  <c r="CT112" i="1" s="1"/>
  <c r="CK112" i="1"/>
  <c r="CH112" i="1"/>
  <c r="CG112" i="1"/>
  <c r="BT112" i="1"/>
  <c r="BS112" i="1"/>
  <c r="BG112" i="1"/>
  <c r="BF112" i="1"/>
  <c r="AF112" i="1"/>
  <c r="AB112" i="1"/>
  <c r="W112" i="1"/>
  <c r="Y112" i="1" s="1"/>
  <c r="AE112" i="1" s="1"/>
  <c r="V112" i="1"/>
  <c r="Q112" i="1"/>
  <c r="R112" i="1" s="1"/>
  <c r="M112" i="1"/>
  <c r="EL111" i="1"/>
  <c r="EK111" i="1"/>
  <c r="DT111" i="1"/>
  <c r="DT113" i="1" s="1"/>
  <c r="DS111" i="1"/>
  <c r="DH111" i="1"/>
  <c r="DG111" i="1"/>
  <c r="DB111" i="1"/>
  <c r="DF111" i="1" s="1"/>
  <c r="CW111" i="1"/>
  <c r="CR111" i="1"/>
  <c r="CT111" i="1" s="1"/>
  <c r="CQ111" i="1"/>
  <c r="CS111" i="1" s="1"/>
  <c r="CH111" i="1"/>
  <c r="CG111" i="1"/>
  <c r="CG113" i="1" s="1"/>
  <c r="BT111" i="1"/>
  <c r="BS111" i="1"/>
  <c r="BG111" i="1"/>
  <c r="BF111" i="1"/>
  <c r="AF111" i="1"/>
  <c r="AB111" i="1"/>
  <c r="W111" i="1"/>
  <c r="V111" i="1"/>
  <c r="Q111" i="1"/>
  <c r="M111" i="1"/>
  <c r="FA110" i="1"/>
  <c r="EZ110" i="1"/>
  <c r="EY110" i="1"/>
  <c r="EX110" i="1"/>
  <c r="EW110" i="1"/>
  <c r="ET110" i="1"/>
  <c r="ES110" i="1"/>
  <c r="EQ110" i="1"/>
  <c r="EP110" i="1"/>
  <c r="EO110" i="1"/>
  <c r="EF110" i="1"/>
  <c r="EE110" i="1"/>
  <c r="EB110" i="1"/>
  <c r="EA110" i="1"/>
  <c r="DX110" i="1"/>
  <c r="DW110" i="1"/>
  <c r="DP110" i="1"/>
  <c r="DO110" i="1"/>
  <c r="DL110" i="1"/>
  <c r="DK110" i="1"/>
  <c r="DD110" i="1"/>
  <c r="DC110" i="1"/>
  <c r="CZ110" i="1"/>
  <c r="CY110" i="1"/>
  <c r="CV110" i="1"/>
  <c r="CP110" i="1"/>
  <c r="CO110" i="1"/>
  <c r="CN110" i="1"/>
  <c r="CM110" i="1"/>
  <c r="CJ110" i="1"/>
  <c r="CI110" i="1"/>
  <c r="CF110" i="1"/>
  <c r="CE110" i="1"/>
  <c r="CD110" i="1"/>
  <c r="CC110" i="1"/>
  <c r="CB110" i="1"/>
  <c r="CA110" i="1"/>
  <c r="BZ110" i="1"/>
  <c r="BY110" i="1"/>
  <c r="BX110" i="1"/>
  <c r="BW110" i="1"/>
  <c r="BU110" i="1"/>
  <c r="BP110" i="1"/>
  <c r="BO110" i="1"/>
  <c r="BK110" i="1"/>
  <c r="BJ110" i="1"/>
  <c r="BI110" i="1"/>
  <c r="BH110" i="1"/>
  <c r="BC110" i="1"/>
  <c r="BB110" i="1"/>
  <c r="AX110" i="1"/>
  <c r="AW110" i="1"/>
  <c r="AT110" i="1"/>
  <c r="AS110" i="1"/>
  <c r="AP110" i="1"/>
  <c r="AO110" i="1"/>
  <c r="AL110" i="1"/>
  <c r="AK110" i="1"/>
  <c r="AA110" i="1"/>
  <c r="AB110" i="1" s="1"/>
  <c r="Z110" i="1"/>
  <c r="U110" i="1"/>
  <c r="T110" i="1"/>
  <c r="S110" i="1"/>
  <c r="P110" i="1"/>
  <c r="O110" i="1"/>
  <c r="N110" i="1"/>
  <c r="L110" i="1"/>
  <c r="K110" i="1"/>
  <c r="J110" i="1"/>
  <c r="EL109" i="1"/>
  <c r="EK109" i="1"/>
  <c r="DT109" i="1"/>
  <c r="DS109" i="1"/>
  <c r="DH109" i="1"/>
  <c r="CX109" i="1"/>
  <c r="DB109" i="1" s="1"/>
  <c r="DF109" i="1" s="1"/>
  <c r="DJ109" i="1" s="1"/>
  <c r="DN109" i="1" s="1"/>
  <c r="DR109" i="1" s="1"/>
  <c r="DV109" i="1" s="1"/>
  <c r="DZ109" i="1" s="1"/>
  <c r="ED109" i="1" s="1"/>
  <c r="CR109" i="1"/>
  <c r="CT109" i="1" s="1"/>
  <c r="CK109" i="1"/>
  <c r="CH109" i="1"/>
  <c r="CG109" i="1"/>
  <c r="BT109" i="1"/>
  <c r="BS109" i="1"/>
  <c r="BG109" i="1"/>
  <c r="BF109" i="1"/>
  <c r="AF109" i="1"/>
  <c r="AB109" i="1"/>
  <c r="W109" i="1"/>
  <c r="Y109" i="1" s="1"/>
  <c r="AE109" i="1" s="1"/>
  <c r="V109" i="1"/>
  <c r="Q109" i="1"/>
  <c r="M109" i="1"/>
  <c r="EL108" i="1"/>
  <c r="EK108" i="1"/>
  <c r="DT108" i="1"/>
  <c r="DT110" i="1" s="1"/>
  <c r="DS108" i="1"/>
  <c r="DH108" i="1"/>
  <c r="CQ108" i="1"/>
  <c r="CS108" i="1" s="1"/>
  <c r="CL108" i="1"/>
  <c r="CH108" i="1"/>
  <c r="CG108" i="1"/>
  <c r="CG110" i="1" s="1"/>
  <c r="BT108" i="1"/>
  <c r="BS108" i="1"/>
  <c r="BG108" i="1"/>
  <c r="BF108" i="1"/>
  <c r="AF108" i="1"/>
  <c r="AF110" i="1" s="1"/>
  <c r="AB108" i="1"/>
  <c r="W108" i="1"/>
  <c r="Y108" i="1" s="1"/>
  <c r="V108" i="1"/>
  <c r="Q108" i="1"/>
  <c r="M108" i="1"/>
  <c r="FF107" i="1"/>
  <c r="FE107" i="1"/>
  <c r="FD107" i="1"/>
  <c r="FC107" i="1"/>
  <c r="FB107" i="1"/>
  <c r="FA107" i="1"/>
  <c r="EZ107" i="1"/>
  <c r="EX107" i="1"/>
  <c r="ET107" i="1"/>
  <c r="ES107" i="1"/>
  <c r="EQ107" i="1"/>
  <c r="EP107" i="1"/>
  <c r="EO107" i="1"/>
  <c r="EF107" i="1"/>
  <c r="EE107" i="1"/>
  <c r="EB107" i="1"/>
  <c r="EA107" i="1"/>
  <c r="DX107" i="1"/>
  <c r="DW107" i="1"/>
  <c r="DP107" i="1"/>
  <c r="DO107" i="1"/>
  <c r="DL107" i="1"/>
  <c r="DK107" i="1"/>
  <c r="DD107" i="1"/>
  <c r="DC107" i="1"/>
  <c r="CZ107" i="1"/>
  <c r="CY107" i="1"/>
  <c r="CP107" i="1"/>
  <c r="CO107" i="1"/>
  <c r="CN107" i="1"/>
  <c r="CM107" i="1"/>
  <c r="CK107" i="1"/>
  <c r="CJ107" i="1"/>
  <c r="CI107" i="1"/>
  <c r="CF107" i="1"/>
  <c r="CE107" i="1"/>
  <c r="CD107" i="1"/>
  <c r="CC107" i="1"/>
  <c r="CB107" i="1"/>
  <c r="CA107" i="1"/>
  <c r="BZ107" i="1"/>
  <c r="BY107" i="1"/>
  <c r="BW107" i="1"/>
  <c r="BU107" i="1"/>
  <c r="BP107" i="1"/>
  <c r="BO107" i="1"/>
  <c r="BK107" i="1"/>
  <c r="BJ107" i="1"/>
  <c r="BI107" i="1"/>
  <c r="BH107" i="1"/>
  <c r="BC107" i="1"/>
  <c r="BB107" i="1"/>
  <c r="AX107" i="1"/>
  <c r="AW107" i="1"/>
  <c r="AT107" i="1"/>
  <c r="AS107" i="1"/>
  <c r="AP107" i="1"/>
  <c r="AO107" i="1"/>
  <c r="AL107" i="1"/>
  <c r="AK107" i="1"/>
  <c r="AA107" i="1"/>
  <c r="AB107" i="1" s="1"/>
  <c r="Z107" i="1"/>
  <c r="U107" i="1"/>
  <c r="T107" i="1"/>
  <c r="S107" i="1"/>
  <c r="P107" i="1"/>
  <c r="O107" i="1"/>
  <c r="N107" i="1"/>
  <c r="L107" i="1"/>
  <c r="K107" i="1"/>
  <c r="J107" i="1"/>
  <c r="EY106" i="1"/>
  <c r="EY107" i="1" s="1"/>
  <c r="EW106" i="1"/>
  <c r="EL106" i="1"/>
  <c r="EK106" i="1"/>
  <c r="DT106" i="1"/>
  <c r="DS106" i="1"/>
  <c r="CR106" i="1"/>
  <c r="CT106" i="1" s="1"/>
  <c r="CQ106" i="1"/>
  <c r="CS106" i="1" s="1"/>
  <c r="CH106" i="1"/>
  <c r="CG106" i="1"/>
  <c r="BT106" i="1"/>
  <c r="BS106" i="1"/>
  <c r="BG106" i="1"/>
  <c r="BF106" i="1"/>
  <c r="AF106" i="1"/>
  <c r="AB106" i="1"/>
  <c r="W106" i="1"/>
  <c r="Y106" i="1" s="1"/>
  <c r="AE106" i="1" s="1"/>
  <c r="V106" i="1"/>
  <c r="Q106" i="1"/>
  <c r="M106" i="1"/>
  <c r="EL105" i="1"/>
  <c r="EL107" i="1" s="1"/>
  <c r="EK105" i="1"/>
  <c r="DT105" i="1"/>
  <c r="DS105" i="1"/>
  <c r="CQ105" i="1"/>
  <c r="CL105" i="1"/>
  <c r="CL107" i="1" s="1"/>
  <c r="CH105" i="1"/>
  <c r="CG105" i="1"/>
  <c r="CG107" i="1" s="1"/>
  <c r="BX105" i="1"/>
  <c r="BX107" i="1" s="1"/>
  <c r="BT105" i="1"/>
  <c r="BT107" i="1" s="1"/>
  <c r="BS105" i="1"/>
  <c r="BG105" i="1"/>
  <c r="BG107" i="1" s="1"/>
  <c r="BF105" i="1"/>
  <c r="AF105" i="1"/>
  <c r="AB105" i="1"/>
  <c r="W105" i="1"/>
  <c r="Y105" i="1" s="1"/>
  <c r="AE105" i="1" s="1"/>
  <c r="AH105" i="1" s="1"/>
  <c r="V105" i="1"/>
  <c r="V107" i="1" s="1"/>
  <c r="Q105" i="1"/>
  <c r="M105" i="1"/>
  <c r="FD104" i="1"/>
  <c r="FC104" i="1"/>
  <c r="FB104" i="1"/>
  <c r="FA104" i="1"/>
  <c r="EZ104" i="1"/>
  <c r="EY104" i="1"/>
  <c r="EX104" i="1"/>
  <c r="EW104" i="1"/>
  <c r="ET104" i="1"/>
  <c r="ES104" i="1"/>
  <c r="ER104" i="1"/>
  <c r="EQ104" i="1"/>
  <c r="EP104" i="1"/>
  <c r="EO104" i="1"/>
  <c r="EF104" i="1"/>
  <c r="EE104" i="1"/>
  <c r="EB104" i="1"/>
  <c r="EA104" i="1"/>
  <c r="DX104" i="1"/>
  <c r="DW104" i="1"/>
  <c r="DP104" i="1"/>
  <c r="DO104" i="1"/>
  <c r="DL104" i="1"/>
  <c r="DK104" i="1"/>
  <c r="DD104" i="1"/>
  <c r="DC104" i="1"/>
  <c r="CZ104" i="1"/>
  <c r="CY104" i="1"/>
  <c r="CP104" i="1"/>
  <c r="CO104" i="1"/>
  <c r="CN104" i="1"/>
  <c r="CM104" i="1"/>
  <c r="CK104" i="1"/>
  <c r="CJ104" i="1"/>
  <c r="CI104" i="1"/>
  <c r="CF104" i="1"/>
  <c r="CE104" i="1"/>
  <c r="CD104" i="1"/>
  <c r="CC104" i="1"/>
  <c r="CB104" i="1"/>
  <c r="CA104" i="1"/>
  <c r="BZ104" i="1"/>
  <c r="BY104" i="1"/>
  <c r="BW104" i="1"/>
  <c r="BP104" i="1"/>
  <c r="BO104" i="1"/>
  <c r="BK104" i="1"/>
  <c r="BJ104" i="1"/>
  <c r="BI104" i="1"/>
  <c r="BH104" i="1"/>
  <c r="BC104" i="1"/>
  <c r="BB104" i="1"/>
  <c r="AX104" i="1"/>
  <c r="AW104" i="1"/>
  <c r="AT104" i="1"/>
  <c r="AS104" i="1"/>
  <c r="AP104" i="1"/>
  <c r="AO104" i="1"/>
  <c r="AL104" i="1"/>
  <c r="AK104" i="1"/>
  <c r="AA104" i="1"/>
  <c r="Z104" i="1"/>
  <c r="U104" i="1"/>
  <c r="T104" i="1"/>
  <c r="S104" i="1"/>
  <c r="P104" i="1"/>
  <c r="O104" i="1"/>
  <c r="N104" i="1"/>
  <c r="L104" i="1"/>
  <c r="K104" i="1"/>
  <c r="J104" i="1"/>
  <c r="EL103" i="1"/>
  <c r="EK103" i="1"/>
  <c r="DT103" i="1"/>
  <c r="DS103" i="1"/>
  <c r="DH103" i="1"/>
  <c r="DG103" i="1"/>
  <c r="CX103" i="1"/>
  <c r="DB103" i="1" s="1"/>
  <c r="DF103" i="1" s="1"/>
  <c r="CW103" i="1"/>
  <c r="DA103" i="1" s="1"/>
  <c r="DE103" i="1" s="1"/>
  <c r="CR103" i="1"/>
  <c r="CT103" i="1" s="1"/>
  <c r="CQ103" i="1"/>
  <c r="CS103" i="1" s="1"/>
  <c r="CH103" i="1"/>
  <c r="CG103" i="1"/>
  <c r="BT103" i="1"/>
  <c r="BS103" i="1"/>
  <c r="BG103" i="1"/>
  <c r="BF103" i="1"/>
  <c r="AF103" i="1"/>
  <c r="AB103" i="1"/>
  <c r="W103" i="1"/>
  <c r="Y103" i="1" s="1"/>
  <c r="AE103" i="1" s="1"/>
  <c r="V103" i="1"/>
  <c r="Q103" i="1"/>
  <c r="M103" i="1"/>
  <c r="EL102" i="1"/>
  <c r="EK102" i="1"/>
  <c r="DT102" i="1"/>
  <c r="DT104" i="1" s="1"/>
  <c r="DS102" i="1"/>
  <c r="CQ102" i="1"/>
  <c r="CL102" i="1"/>
  <c r="CR102" i="1" s="1"/>
  <c r="CH102" i="1"/>
  <c r="CG102" i="1"/>
  <c r="CG104" i="1" s="1"/>
  <c r="BX102" i="1"/>
  <c r="BX104" i="1" s="1"/>
  <c r="BT102" i="1"/>
  <c r="BT104" i="1" s="1"/>
  <c r="BS102" i="1"/>
  <c r="BS104" i="1" s="1"/>
  <c r="BG102" i="1"/>
  <c r="BF102" i="1"/>
  <c r="AF102" i="1"/>
  <c r="AF104" i="1" s="1"/>
  <c r="AB102" i="1"/>
  <c r="W102" i="1"/>
  <c r="V102" i="1"/>
  <c r="Q102" i="1"/>
  <c r="M102" i="1"/>
  <c r="M104" i="1" s="1"/>
  <c r="FE101" i="1"/>
  <c r="FD101" i="1"/>
  <c r="FC101" i="1"/>
  <c r="FB101" i="1"/>
  <c r="FA101" i="1"/>
  <c r="EZ101" i="1"/>
  <c r="EX101" i="1"/>
  <c r="ET101" i="1"/>
  <c r="ES101" i="1"/>
  <c r="EQ101" i="1"/>
  <c r="EP101" i="1"/>
  <c r="EO101" i="1"/>
  <c r="EF101" i="1"/>
  <c r="EE101" i="1"/>
  <c r="EB101" i="1"/>
  <c r="EA101" i="1"/>
  <c r="DX101" i="1"/>
  <c r="DW101" i="1"/>
  <c r="DP101" i="1"/>
  <c r="DO101" i="1"/>
  <c r="DL101" i="1"/>
  <c r="DK101" i="1"/>
  <c r="DD101" i="1"/>
  <c r="DC101" i="1"/>
  <c r="CZ101" i="1"/>
  <c r="CY101" i="1"/>
  <c r="CP101" i="1"/>
  <c r="CO101" i="1"/>
  <c r="CN101" i="1"/>
  <c r="CM101" i="1"/>
  <c r="CK101" i="1"/>
  <c r="CJ101" i="1"/>
  <c r="CI101" i="1"/>
  <c r="CF101" i="1"/>
  <c r="CE101" i="1"/>
  <c r="CD101" i="1"/>
  <c r="CC101" i="1"/>
  <c r="CB101" i="1"/>
  <c r="CA101" i="1"/>
  <c r="BZ101" i="1"/>
  <c r="BY101" i="1"/>
  <c r="BW101" i="1"/>
  <c r="BP101" i="1"/>
  <c r="BO101" i="1"/>
  <c r="BK101" i="1"/>
  <c r="BJ101" i="1"/>
  <c r="BI101" i="1"/>
  <c r="BH101" i="1"/>
  <c r="BC101" i="1"/>
  <c r="BB101" i="1"/>
  <c r="AX101" i="1"/>
  <c r="AW101" i="1"/>
  <c r="AT101" i="1"/>
  <c r="AS101" i="1"/>
  <c r="AP101" i="1"/>
  <c r="AO101" i="1"/>
  <c r="AL101" i="1"/>
  <c r="AK101" i="1"/>
  <c r="AA101" i="1"/>
  <c r="Z101" i="1"/>
  <c r="U101" i="1"/>
  <c r="T101" i="1"/>
  <c r="S101" i="1"/>
  <c r="P101" i="1"/>
  <c r="O101" i="1"/>
  <c r="N101" i="1"/>
  <c r="L101" i="1"/>
  <c r="K101" i="1"/>
  <c r="J101" i="1"/>
  <c r="EY100" i="1"/>
  <c r="EY101" i="1" s="1"/>
  <c r="EW100" i="1"/>
  <c r="EW101" i="1" s="1"/>
  <c r="EL100" i="1"/>
  <c r="EK100" i="1"/>
  <c r="DT100" i="1"/>
  <c r="DS100" i="1"/>
  <c r="CR100" i="1"/>
  <c r="CT100" i="1" s="1"/>
  <c r="CQ100" i="1"/>
  <c r="CS100" i="1" s="1"/>
  <c r="CH100" i="1"/>
  <c r="CG100" i="1"/>
  <c r="BT100" i="1"/>
  <c r="BS100" i="1"/>
  <c r="BG100" i="1"/>
  <c r="BF100" i="1"/>
  <c r="AF100" i="1"/>
  <c r="AB100" i="1"/>
  <c r="W100" i="1"/>
  <c r="Y100" i="1" s="1"/>
  <c r="AE100" i="1" s="1"/>
  <c r="AJ100" i="1" s="1"/>
  <c r="V100" i="1"/>
  <c r="Q100" i="1"/>
  <c r="R100" i="1" s="1"/>
  <c r="M100" i="1"/>
  <c r="EL99" i="1"/>
  <c r="EK99" i="1"/>
  <c r="DT99" i="1"/>
  <c r="DS99" i="1"/>
  <c r="CQ99" i="1"/>
  <c r="CQ101" i="1" s="1"/>
  <c r="CL99" i="1"/>
  <c r="CR99" i="1" s="1"/>
  <c r="CH99" i="1"/>
  <c r="CG99" i="1"/>
  <c r="BX99" i="1"/>
  <c r="BX101" i="1" s="1"/>
  <c r="BT99" i="1"/>
  <c r="BS99" i="1"/>
  <c r="BS101" i="1" s="1"/>
  <c r="BG99" i="1"/>
  <c r="BF99" i="1"/>
  <c r="BF101" i="1" s="1"/>
  <c r="AF99" i="1"/>
  <c r="AB99" i="1"/>
  <c r="W99" i="1"/>
  <c r="W101" i="1" s="1"/>
  <c r="V99" i="1"/>
  <c r="V101" i="1" s="1"/>
  <c r="Q99" i="1"/>
  <c r="M99" i="1"/>
  <c r="FD98" i="1"/>
  <c r="FC98" i="1"/>
  <c r="FB98" i="1"/>
  <c r="FA98" i="1"/>
  <c r="EZ98" i="1"/>
  <c r="EY98" i="1"/>
  <c r="EX98" i="1"/>
  <c r="EW98" i="1"/>
  <c r="ET98" i="1"/>
  <c r="ES98" i="1"/>
  <c r="EQ98" i="1"/>
  <c r="EP98" i="1"/>
  <c r="EO98" i="1"/>
  <c r="EF98" i="1"/>
  <c r="EE98" i="1"/>
  <c r="EB98" i="1"/>
  <c r="EA98" i="1"/>
  <c r="DX98" i="1"/>
  <c r="DW98" i="1"/>
  <c r="DP98" i="1"/>
  <c r="DO98" i="1"/>
  <c r="DL98" i="1"/>
  <c r="DK98" i="1"/>
  <c r="DD98" i="1"/>
  <c r="DC98" i="1"/>
  <c r="CZ98" i="1"/>
  <c r="CY98" i="1"/>
  <c r="CX98" i="1"/>
  <c r="CW98" i="1"/>
  <c r="CP98" i="1"/>
  <c r="CO98" i="1"/>
  <c r="CN98" i="1"/>
  <c r="CM98" i="1"/>
  <c r="CJ98" i="1"/>
  <c r="CI98" i="1"/>
  <c r="CF98" i="1"/>
  <c r="CE98" i="1"/>
  <c r="CD98" i="1"/>
  <c r="CC98" i="1"/>
  <c r="CB98" i="1"/>
  <c r="CA98" i="1"/>
  <c r="BZ98" i="1"/>
  <c r="BY98" i="1"/>
  <c r="BX98" i="1"/>
  <c r="BW98" i="1"/>
  <c r="BP98" i="1"/>
  <c r="BO98" i="1"/>
  <c r="BK98" i="1"/>
  <c r="BJ98" i="1"/>
  <c r="BI98" i="1"/>
  <c r="BH98" i="1"/>
  <c r="BC98" i="1"/>
  <c r="BB98" i="1"/>
  <c r="AX98" i="1"/>
  <c r="AW98" i="1"/>
  <c r="AT98" i="1"/>
  <c r="AS98" i="1"/>
  <c r="AP98" i="1"/>
  <c r="AO98" i="1"/>
  <c r="AL98" i="1"/>
  <c r="AK98" i="1"/>
  <c r="AA98" i="1"/>
  <c r="Z98" i="1"/>
  <c r="U98" i="1"/>
  <c r="T98" i="1"/>
  <c r="S98" i="1"/>
  <c r="P98" i="1"/>
  <c r="O98" i="1"/>
  <c r="N98" i="1"/>
  <c r="L98" i="1"/>
  <c r="K98" i="1"/>
  <c r="J98" i="1"/>
  <c r="EL97" i="1"/>
  <c r="EK97" i="1"/>
  <c r="DT97" i="1"/>
  <c r="DS97" i="1"/>
  <c r="DH97" i="1"/>
  <c r="DJ97" i="1" s="1"/>
  <c r="DN97" i="1" s="1"/>
  <c r="DR97" i="1" s="1"/>
  <c r="DV97" i="1" s="1"/>
  <c r="DZ97" i="1" s="1"/>
  <c r="DG97" i="1"/>
  <c r="DB97" i="1"/>
  <c r="DF97" i="1" s="1"/>
  <c r="CR97" i="1"/>
  <c r="CT97" i="1" s="1"/>
  <c r="CK97" i="1"/>
  <c r="CH97" i="1"/>
  <c r="CG97" i="1"/>
  <c r="BT97" i="1"/>
  <c r="BS97" i="1"/>
  <c r="BG97" i="1"/>
  <c r="BF97" i="1"/>
  <c r="AF97" i="1"/>
  <c r="AB97" i="1"/>
  <c r="W97" i="1"/>
  <c r="Y97" i="1" s="1"/>
  <c r="AE97" i="1" s="1"/>
  <c r="V97" i="1"/>
  <c r="Q97" i="1"/>
  <c r="M97" i="1"/>
  <c r="EL96" i="1"/>
  <c r="EK96" i="1"/>
  <c r="DT96" i="1"/>
  <c r="DS96" i="1"/>
  <c r="DA96" i="1"/>
  <c r="DE96" i="1" s="1"/>
  <c r="CQ96" i="1"/>
  <c r="CS96" i="1" s="1"/>
  <c r="CL96" i="1"/>
  <c r="CH96" i="1"/>
  <c r="CG96" i="1"/>
  <c r="BT96" i="1"/>
  <c r="BT98" i="1" s="1"/>
  <c r="BS96" i="1"/>
  <c r="BS98" i="1" s="1"/>
  <c r="BG96" i="1"/>
  <c r="BF96" i="1"/>
  <c r="AF96" i="1"/>
  <c r="AF98" i="1" s="1"/>
  <c r="AB96" i="1"/>
  <c r="W96" i="1"/>
  <c r="W98" i="1" s="1"/>
  <c r="V96" i="1"/>
  <c r="V98" i="1" s="1"/>
  <c r="Q96" i="1"/>
  <c r="R96" i="1" s="1"/>
  <c r="M96" i="1"/>
  <c r="EL95" i="1"/>
  <c r="EK95" i="1"/>
  <c r="DT95" i="1"/>
  <c r="DS95" i="1"/>
  <c r="DN95" i="1"/>
  <c r="DR95" i="1" s="1"/>
  <c r="DM95" i="1"/>
  <c r="DQ95" i="1" s="1"/>
  <c r="CV95" i="1"/>
  <c r="CR95" i="1"/>
  <c r="CQ95" i="1"/>
  <c r="CH95" i="1"/>
  <c r="CG95" i="1"/>
  <c r="BT95" i="1"/>
  <c r="BS95" i="1"/>
  <c r="BG95" i="1"/>
  <c r="BF95" i="1"/>
  <c r="AF95" i="1"/>
  <c r="AB95" i="1"/>
  <c r="W95" i="1"/>
  <c r="Y95" i="1" s="1"/>
  <c r="AE95" i="1" s="1"/>
  <c r="V95" i="1"/>
  <c r="Q95" i="1"/>
  <c r="M95" i="1"/>
  <c r="EL94" i="1"/>
  <c r="EK94" i="1"/>
  <c r="DT94" i="1"/>
  <c r="DS94" i="1"/>
  <c r="CR94" i="1"/>
  <c r="CT94" i="1" s="1"/>
  <c r="CQ94" i="1"/>
  <c r="CH94" i="1"/>
  <c r="CG94" i="1"/>
  <c r="BT94" i="1"/>
  <c r="BS94" i="1"/>
  <c r="BG94" i="1"/>
  <c r="BF94" i="1"/>
  <c r="AX94" i="1"/>
  <c r="AF94" i="1"/>
  <c r="AB94" i="1"/>
  <c r="W94" i="1"/>
  <c r="Y94" i="1" s="1"/>
  <c r="AE94" i="1" s="1"/>
  <c r="AJ94" i="1" s="1"/>
  <c r="V94" i="1"/>
  <c r="Q94" i="1"/>
  <c r="M94" i="1"/>
  <c r="FA93" i="1"/>
  <c r="EZ93" i="1"/>
  <c r="EY93" i="1"/>
  <c r="EX93" i="1"/>
  <c r="EW93" i="1"/>
  <c r="ET93" i="1"/>
  <c r="ES93" i="1"/>
  <c r="EP93" i="1"/>
  <c r="EO93" i="1"/>
  <c r="EF93" i="1"/>
  <c r="EE93" i="1"/>
  <c r="EB93" i="1"/>
  <c r="EA93" i="1"/>
  <c r="DX93" i="1"/>
  <c r="DW93" i="1"/>
  <c r="DP93" i="1"/>
  <c r="DO93" i="1"/>
  <c r="DL93" i="1"/>
  <c r="DK93" i="1"/>
  <c r="DD93" i="1"/>
  <c r="DC93" i="1"/>
  <c r="CZ93" i="1"/>
  <c r="CY93" i="1"/>
  <c r="CV93" i="1"/>
  <c r="CU93" i="1"/>
  <c r="CP93" i="1"/>
  <c r="CO93" i="1"/>
  <c r="CN93" i="1"/>
  <c r="CM93" i="1"/>
  <c r="CL93" i="1"/>
  <c r="CK93" i="1"/>
  <c r="CJ93" i="1"/>
  <c r="CI93" i="1"/>
  <c r="CF93" i="1"/>
  <c r="CE93" i="1"/>
  <c r="CD93" i="1"/>
  <c r="CC93" i="1"/>
  <c r="CB93" i="1"/>
  <c r="CA93" i="1"/>
  <c r="BZ93" i="1"/>
  <c r="BY93" i="1"/>
  <c r="BX93" i="1"/>
  <c r="BW93" i="1"/>
  <c r="BP93" i="1"/>
  <c r="BO93" i="1"/>
  <c r="BK93" i="1"/>
  <c r="BJ93" i="1"/>
  <c r="BI93" i="1"/>
  <c r="BH93" i="1"/>
  <c r="BC93" i="1"/>
  <c r="BB93" i="1"/>
  <c r="AX93" i="1"/>
  <c r="AW93" i="1"/>
  <c r="AT93" i="1"/>
  <c r="AS93" i="1"/>
  <c r="AP93" i="1"/>
  <c r="AO93" i="1"/>
  <c r="AL93" i="1"/>
  <c r="AK93" i="1"/>
  <c r="AA93" i="1"/>
  <c r="Z93" i="1"/>
  <c r="U93" i="1"/>
  <c r="T93" i="1"/>
  <c r="S93" i="1"/>
  <c r="P93" i="1"/>
  <c r="O93" i="1"/>
  <c r="N93" i="1"/>
  <c r="L93" i="1"/>
  <c r="K93" i="1"/>
  <c r="J93" i="1"/>
  <c r="EL92" i="1"/>
  <c r="EK92" i="1"/>
  <c r="DT92" i="1"/>
  <c r="DS92" i="1"/>
  <c r="DH92" i="1"/>
  <c r="DG92" i="1"/>
  <c r="CX92" i="1"/>
  <c r="DB92" i="1" s="1"/>
  <c r="DF92" i="1" s="1"/>
  <c r="DJ92" i="1" s="1"/>
  <c r="DN92" i="1" s="1"/>
  <c r="DR92" i="1" s="1"/>
  <c r="CW92" i="1"/>
  <c r="DA92" i="1" s="1"/>
  <c r="DE92" i="1" s="1"/>
  <c r="DI92" i="1" s="1"/>
  <c r="DM92" i="1" s="1"/>
  <c r="DQ92" i="1" s="1"/>
  <c r="CR92" i="1"/>
  <c r="CT92" i="1" s="1"/>
  <c r="CQ92" i="1"/>
  <c r="CS92" i="1" s="1"/>
  <c r="CH92" i="1"/>
  <c r="CG92" i="1"/>
  <c r="BT92" i="1"/>
  <c r="BS92" i="1"/>
  <c r="BG92" i="1"/>
  <c r="BF92" i="1"/>
  <c r="AF92" i="1"/>
  <c r="AB92" i="1"/>
  <c r="W92" i="1"/>
  <c r="Y92" i="1" s="1"/>
  <c r="AE92" i="1" s="1"/>
  <c r="AJ92" i="1" s="1"/>
  <c r="V92" i="1"/>
  <c r="X92" i="1" s="1"/>
  <c r="AD92" i="1" s="1"/>
  <c r="Q92" i="1"/>
  <c r="M92" i="1"/>
  <c r="EL91" i="1"/>
  <c r="EK91" i="1"/>
  <c r="EK93" i="1" s="1"/>
  <c r="DT91" i="1"/>
  <c r="DS91" i="1"/>
  <c r="DH91" i="1"/>
  <c r="DG91" i="1"/>
  <c r="DG93" i="1" s="1"/>
  <c r="CX91" i="1"/>
  <c r="DB91" i="1" s="1"/>
  <c r="DF91" i="1" s="1"/>
  <c r="CW91" i="1"/>
  <c r="CR91" i="1"/>
  <c r="CR93" i="1" s="1"/>
  <c r="CQ91" i="1"/>
  <c r="CS91" i="1" s="1"/>
  <c r="CH91" i="1"/>
  <c r="CG91" i="1"/>
  <c r="CG93" i="1" s="1"/>
  <c r="BT91" i="1"/>
  <c r="BT93" i="1" s="1"/>
  <c r="BS91" i="1"/>
  <c r="BS93" i="1" s="1"/>
  <c r="BG91" i="1"/>
  <c r="BG93" i="1" s="1"/>
  <c r="BF91" i="1"/>
  <c r="AF91" i="1"/>
  <c r="AB91" i="1"/>
  <c r="W91" i="1"/>
  <c r="Y91" i="1" s="1"/>
  <c r="V91" i="1"/>
  <c r="Q91" i="1"/>
  <c r="M91" i="1"/>
  <c r="M93" i="1" s="1"/>
  <c r="EL90" i="1"/>
  <c r="EK90" i="1"/>
  <c r="DT90" i="1"/>
  <c r="DS90" i="1"/>
  <c r="DH90" i="1"/>
  <c r="DG90" i="1"/>
  <c r="CX90" i="1"/>
  <c r="CW90" i="1"/>
  <c r="CL90" i="1"/>
  <c r="CR90" i="1" s="1"/>
  <c r="CT90" i="1" s="1"/>
  <c r="CK90" i="1"/>
  <c r="CQ90" i="1" s="1"/>
  <c r="CS90" i="1" s="1"/>
  <c r="CH90" i="1"/>
  <c r="CG90" i="1"/>
  <c r="BT90" i="1"/>
  <c r="BS90" i="1"/>
  <c r="BG90" i="1"/>
  <c r="BF90" i="1"/>
  <c r="AF90" i="1"/>
  <c r="AB90" i="1"/>
  <c r="W90" i="1"/>
  <c r="Y90" i="1" s="1"/>
  <c r="AE90" i="1" s="1"/>
  <c r="V90" i="1"/>
  <c r="Q90" i="1"/>
  <c r="M90" i="1"/>
  <c r="EL88" i="1"/>
  <c r="EK88" i="1"/>
  <c r="DT88" i="1"/>
  <c r="DS88" i="1"/>
  <c r="DH88" i="1"/>
  <c r="DG88" i="1"/>
  <c r="CX88" i="1"/>
  <c r="DB88" i="1" s="1"/>
  <c r="CW88" i="1"/>
  <c r="DA88" i="1" s="1"/>
  <c r="CR88" i="1"/>
  <c r="CT88" i="1" s="1"/>
  <c r="CQ88" i="1"/>
  <c r="CH88" i="1"/>
  <c r="CG88" i="1"/>
  <c r="BG88" i="1"/>
  <c r="BF88" i="1"/>
  <c r="AZ88" i="1"/>
  <c r="BM88" i="1" s="1"/>
  <c r="BP88" i="1" s="1"/>
  <c r="AY88" i="1"/>
  <c r="W88" i="1"/>
  <c r="Y88" i="1" s="1"/>
  <c r="V88" i="1"/>
  <c r="Q88" i="1"/>
  <c r="M88" i="1"/>
  <c r="EL87" i="1"/>
  <c r="EK87" i="1"/>
  <c r="DT87" i="1"/>
  <c r="DS87" i="1"/>
  <c r="DH87" i="1"/>
  <c r="DG87" i="1"/>
  <c r="CX87" i="1"/>
  <c r="CW87" i="1"/>
  <c r="DA87" i="1" s="1"/>
  <c r="DE87" i="1" s="1"/>
  <c r="CR87" i="1"/>
  <c r="CT87" i="1" s="1"/>
  <c r="CQ87" i="1"/>
  <c r="CH87" i="1"/>
  <c r="CG87" i="1"/>
  <c r="BT87" i="1"/>
  <c r="BS87" i="1"/>
  <c r="BG87" i="1"/>
  <c r="BF87" i="1"/>
  <c r="AF87" i="1"/>
  <c r="AB87" i="1"/>
  <c r="W87" i="1"/>
  <c r="Y87" i="1" s="1"/>
  <c r="AE87" i="1" s="1"/>
  <c r="V87" i="1"/>
  <c r="Q87" i="1"/>
  <c r="M87" i="1"/>
  <c r="EL86" i="1"/>
  <c r="EK86" i="1"/>
  <c r="DT86" i="1"/>
  <c r="DS86" i="1"/>
  <c r="CR86" i="1"/>
  <c r="CQ86" i="1"/>
  <c r="CS86" i="1" s="1"/>
  <c r="CH86" i="1"/>
  <c r="CG86" i="1"/>
  <c r="BT86" i="1"/>
  <c r="BS86" i="1"/>
  <c r="BG86" i="1"/>
  <c r="BF86" i="1"/>
  <c r="AF86" i="1"/>
  <c r="AB86" i="1"/>
  <c r="W86" i="1"/>
  <c r="Y86" i="1" s="1"/>
  <c r="AE86" i="1" s="1"/>
  <c r="V86" i="1"/>
  <c r="Q86" i="1"/>
  <c r="M86" i="1"/>
  <c r="FF85" i="1"/>
  <c r="FE85" i="1"/>
  <c r="FD85" i="1"/>
  <c r="FC85" i="1"/>
  <c r="FB85" i="1"/>
  <c r="FA85" i="1"/>
  <c r="EZ85" i="1"/>
  <c r="EX85" i="1"/>
  <c r="ET85" i="1"/>
  <c r="ES85" i="1"/>
  <c r="ER85" i="1"/>
  <c r="EQ85" i="1"/>
  <c r="EP85" i="1"/>
  <c r="EO85" i="1"/>
  <c r="EF85" i="1"/>
  <c r="EE85" i="1"/>
  <c r="EB85" i="1"/>
  <c r="EA85" i="1"/>
  <c r="DX85" i="1"/>
  <c r="DW85" i="1"/>
  <c r="DP85" i="1"/>
  <c r="DO85" i="1"/>
  <c r="DL85" i="1"/>
  <c r="DK85" i="1"/>
  <c r="DD85" i="1"/>
  <c r="DC85" i="1"/>
  <c r="CZ85" i="1"/>
  <c r="CY85" i="1"/>
  <c r="CP85" i="1"/>
  <c r="CO85" i="1"/>
  <c r="CN85" i="1"/>
  <c r="CM85" i="1"/>
  <c r="CL85" i="1"/>
  <c r="CJ85" i="1"/>
  <c r="CI85" i="1"/>
  <c r="CF85" i="1"/>
  <c r="CE85" i="1"/>
  <c r="CD85" i="1"/>
  <c r="CC85" i="1"/>
  <c r="CB85" i="1"/>
  <c r="CA85" i="1"/>
  <c r="BZ85" i="1"/>
  <c r="BY85" i="1"/>
  <c r="BX85" i="1"/>
  <c r="BW85" i="1"/>
  <c r="BP85" i="1"/>
  <c r="BK85" i="1"/>
  <c r="BJ85" i="1"/>
  <c r="BI85" i="1"/>
  <c r="BH85" i="1"/>
  <c r="BC85" i="1"/>
  <c r="BB85" i="1"/>
  <c r="AX85" i="1"/>
  <c r="AW85" i="1"/>
  <c r="AT85" i="1"/>
  <c r="AS85" i="1"/>
  <c r="AP85" i="1"/>
  <c r="AO85" i="1"/>
  <c r="AL85" i="1"/>
  <c r="AK85" i="1"/>
  <c r="AA85" i="1"/>
  <c r="Z85" i="1"/>
  <c r="U85" i="1"/>
  <c r="T85" i="1"/>
  <c r="S85" i="1"/>
  <c r="P85" i="1"/>
  <c r="O85" i="1"/>
  <c r="N85" i="1"/>
  <c r="L85" i="1"/>
  <c r="K85" i="1"/>
  <c r="J85" i="1"/>
  <c r="EY84" i="1"/>
  <c r="EY85" i="1" s="1"/>
  <c r="EW84" i="1"/>
  <c r="EW85" i="1" s="1"/>
  <c r="EL84" i="1"/>
  <c r="EK84" i="1"/>
  <c r="DT84" i="1"/>
  <c r="DS84" i="1"/>
  <c r="CR84" i="1"/>
  <c r="CK84" i="1"/>
  <c r="CQ84" i="1" s="1"/>
  <c r="CS84" i="1" s="1"/>
  <c r="CH84" i="1"/>
  <c r="CG84" i="1"/>
  <c r="BT84" i="1"/>
  <c r="BO84" i="1"/>
  <c r="BG84" i="1"/>
  <c r="BF84" i="1"/>
  <c r="AZ84" i="1"/>
  <c r="BM84" i="1" s="1"/>
  <c r="BR84" i="1" s="1"/>
  <c r="AY84" i="1"/>
  <c r="AB84" i="1"/>
  <c r="AC84" i="1" s="1"/>
  <c r="W84" i="1"/>
  <c r="Y84" i="1" s="1"/>
  <c r="V84" i="1"/>
  <c r="Q84" i="1"/>
  <c r="M84" i="1"/>
  <c r="EL83" i="1"/>
  <c r="EK83" i="1"/>
  <c r="EK85" i="1" s="1"/>
  <c r="DT83" i="1"/>
  <c r="DS83" i="1"/>
  <c r="CR83" i="1"/>
  <c r="CK83" i="1"/>
  <c r="CQ83" i="1" s="1"/>
  <c r="CH83" i="1"/>
  <c r="CG83" i="1"/>
  <c r="BT83" i="1"/>
  <c r="BS83" i="1"/>
  <c r="BG83" i="1"/>
  <c r="BF83" i="1"/>
  <c r="AF83" i="1"/>
  <c r="AF85" i="1" s="1"/>
  <c r="AB83" i="1"/>
  <c r="W83" i="1"/>
  <c r="W85" i="1" s="1"/>
  <c r="V83" i="1"/>
  <c r="Q83" i="1"/>
  <c r="M83" i="1"/>
  <c r="M85" i="1" s="1"/>
  <c r="FB82" i="1"/>
  <c r="FA82" i="1"/>
  <c r="EZ82" i="1"/>
  <c r="EX82" i="1"/>
  <c r="ET82" i="1"/>
  <c r="ES82" i="1"/>
  <c r="ER82" i="1"/>
  <c r="EQ82" i="1"/>
  <c r="EP82" i="1"/>
  <c r="EO82" i="1"/>
  <c r="EF82" i="1"/>
  <c r="EE82" i="1"/>
  <c r="EB82" i="1"/>
  <c r="EA82" i="1"/>
  <c r="DX82" i="1"/>
  <c r="DW82" i="1"/>
  <c r="DP82" i="1"/>
  <c r="DO82" i="1"/>
  <c r="DL82" i="1"/>
  <c r="DK82" i="1"/>
  <c r="DD82" i="1"/>
  <c r="DC82" i="1"/>
  <c r="CZ82" i="1"/>
  <c r="CY82" i="1"/>
  <c r="CV82" i="1"/>
  <c r="CU82" i="1"/>
  <c r="CP82" i="1"/>
  <c r="CO82" i="1"/>
  <c r="CN82" i="1"/>
  <c r="CM82" i="1"/>
  <c r="CK82" i="1"/>
  <c r="CJ82" i="1"/>
  <c r="CI82" i="1"/>
  <c r="CF82" i="1"/>
  <c r="CE82" i="1"/>
  <c r="CD82" i="1"/>
  <c r="CC82" i="1"/>
  <c r="CB82" i="1"/>
  <c r="CA82" i="1"/>
  <c r="BZ82" i="1"/>
  <c r="BY82" i="1"/>
  <c r="BP82" i="1"/>
  <c r="BO82" i="1"/>
  <c r="BK82" i="1"/>
  <c r="BJ82" i="1"/>
  <c r="BI82" i="1"/>
  <c r="BH82" i="1"/>
  <c r="BC82" i="1"/>
  <c r="BB82" i="1"/>
  <c r="AX82" i="1"/>
  <c r="AW82" i="1"/>
  <c r="AT82" i="1"/>
  <c r="AS82" i="1"/>
  <c r="AP82" i="1"/>
  <c r="AO82" i="1"/>
  <c r="AL82" i="1"/>
  <c r="AK82" i="1"/>
  <c r="AA82" i="1"/>
  <c r="Z82" i="1"/>
  <c r="U82" i="1"/>
  <c r="T82" i="1"/>
  <c r="S82" i="1"/>
  <c r="P82" i="1"/>
  <c r="O82" i="1"/>
  <c r="N82" i="1"/>
  <c r="L82" i="1"/>
  <c r="K82" i="1"/>
  <c r="J82" i="1"/>
  <c r="EY81" i="1"/>
  <c r="EY82" i="1" s="1"/>
  <c r="EW81" i="1"/>
  <c r="EW82" i="1" s="1"/>
  <c r="EL81" i="1"/>
  <c r="EK81" i="1"/>
  <c r="DT81" i="1"/>
  <c r="DS81" i="1"/>
  <c r="DH81" i="1"/>
  <c r="CX81" i="1"/>
  <c r="DB81" i="1" s="1"/>
  <c r="DF81" i="1" s="1"/>
  <c r="CW81" i="1"/>
  <c r="DA81" i="1" s="1"/>
  <c r="DE81" i="1" s="1"/>
  <c r="CR81" i="1"/>
  <c r="CT81" i="1" s="1"/>
  <c r="CQ81" i="1"/>
  <c r="CS81" i="1" s="1"/>
  <c r="CH81" i="1"/>
  <c r="CG81" i="1"/>
  <c r="BW81" i="1"/>
  <c r="BW82" i="1" s="1"/>
  <c r="BT81" i="1"/>
  <c r="BS81" i="1"/>
  <c r="BG81" i="1"/>
  <c r="BF81" i="1"/>
  <c r="AF81" i="1"/>
  <c r="AB81" i="1"/>
  <c r="W81" i="1"/>
  <c r="Y81" i="1" s="1"/>
  <c r="AE81" i="1" s="1"/>
  <c r="V81" i="1"/>
  <c r="Q81" i="1"/>
  <c r="M81" i="1"/>
  <c r="EL80" i="1"/>
  <c r="EL82" i="1" s="1"/>
  <c r="EK80" i="1"/>
  <c r="DT80" i="1"/>
  <c r="DS80" i="1"/>
  <c r="DS82" i="1" s="1"/>
  <c r="DH80" i="1"/>
  <c r="DG80" i="1"/>
  <c r="CX80" i="1"/>
  <c r="CW80" i="1"/>
  <c r="CQ80" i="1"/>
  <c r="CS80" i="1" s="1"/>
  <c r="CL80" i="1"/>
  <c r="CR80" i="1" s="1"/>
  <c r="CH80" i="1"/>
  <c r="CG80" i="1"/>
  <c r="BX80" i="1"/>
  <c r="BX82" i="1" s="1"/>
  <c r="BT80" i="1"/>
  <c r="BS80" i="1"/>
  <c r="BS82" i="1" s="1"/>
  <c r="BG80" i="1"/>
  <c r="BG82" i="1" s="1"/>
  <c r="BF80" i="1"/>
  <c r="AF80" i="1"/>
  <c r="AB80" i="1"/>
  <c r="W80" i="1"/>
  <c r="Y80" i="1" s="1"/>
  <c r="V80" i="1"/>
  <c r="Q80" i="1"/>
  <c r="M80" i="1"/>
  <c r="FD79" i="1"/>
  <c r="FC79" i="1"/>
  <c r="FB79" i="1"/>
  <c r="FA79" i="1"/>
  <c r="EZ79" i="1"/>
  <c r="EY79" i="1"/>
  <c r="EX79" i="1"/>
  <c r="EW79" i="1"/>
  <c r="ET79" i="1"/>
  <c r="ES79" i="1"/>
  <c r="ER79" i="1"/>
  <c r="EQ79" i="1"/>
  <c r="EP79" i="1"/>
  <c r="EO79" i="1"/>
  <c r="EF79" i="1"/>
  <c r="EE79" i="1"/>
  <c r="EB79" i="1"/>
  <c r="EA79" i="1"/>
  <c r="DX79" i="1"/>
  <c r="DW79" i="1"/>
  <c r="DP79" i="1"/>
  <c r="DO79" i="1"/>
  <c r="DL79" i="1"/>
  <c r="DK79" i="1"/>
  <c r="DD79" i="1"/>
  <c r="DC79" i="1"/>
  <c r="CZ79" i="1"/>
  <c r="CY79" i="1"/>
  <c r="CV79" i="1"/>
  <c r="CU79" i="1"/>
  <c r="CP79" i="1"/>
  <c r="CO79" i="1"/>
  <c r="CN79" i="1"/>
  <c r="CM79" i="1"/>
  <c r="CK79" i="1"/>
  <c r="CJ79" i="1"/>
  <c r="CI79" i="1"/>
  <c r="CF79" i="1"/>
  <c r="CE79" i="1"/>
  <c r="CD79" i="1"/>
  <c r="CC79" i="1"/>
  <c r="CB79" i="1"/>
  <c r="CA79" i="1"/>
  <c r="BZ79" i="1"/>
  <c r="BY79" i="1"/>
  <c r="BX79" i="1"/>
  <c r="BW79" i="1"/>
  <c r="BK79" i="1"/>
  <c r="BJ79" i="1"/>
  <c r="BI79" i="1"/>
  <c r="BH79" i="1"/>
  <c r="BC79" i="1"/>
  <c r="BB79" i="1"/>
  <c r="AX79" i="1"/>
  <c r="AW79" i="1"/>
  <c r="AT79" i="1"/>
  <c r="AS79" i="1"/>
  <c r="AP79" i="1"/>
  <c r="AO79" i="1"/>
  <c r="AL79" i="1"/>
  <c r="AK79" i="1"/>
  <c r="AA79" i="1"/>
  <c r="Z79" i="1"/>
  <c r="AB79" i="1" s="1"/>
  <c r="U79" i="1"/>
  <c r="T79" i="1"/>
  <c r="S79" i="1"/>
  <c r="P79" i="1"/>
  <c r="O79" i="1"/>
  <c r="N79" i="1"/>
  <c r="L79" i="1"/>
  <c r="K79" i="1"/>
  <c r="J79" i="1"/>
  <c r="EL78" i="1"/>
  <c r="EK78" i="1"/>
  <c r="DT78" i="1"/>
  <c r="DS78" i="1"/>
  <c r="DH78" i="1"/>
  <c r="DG78" i="1"/>
  <c r="CX78" i="1"/>
  <c r="DB78" i="1" s="1"/>
  <c r="DF78" i="1" s="1"/>
  <c r="CW78" i="1"/>
  <c r="DA78" i="1" s="1"/>
  <c r="DE78" i="1" s="1"/>
  <c r="CR78" i="1"/>
  <c r="CT78" i="1" s="1"/>
  <c r="CQ78" i="1"/>
  <c r="CS78" i="1" s="1"/>
  <c r="CH78" i="1"/>
  <c r="CG78" i="1"/>
  <c r="BG78" i="1"/>
  <c r="BF78" i="1"/>
  <c r="AF78" i="1"/>
  <c r="AB78" i="1"/>
  <c r="W78" i="1"/>
  <c r="Y78" i="1" s="1"/>
  <c r="AE78" i="1" s="1"/>
  <c r="V78" i="1"/>
  <c r="Q78" i="1"/>
  <c r="M78" i="1"/>
  <c r="EL77" i="1"/>
  <c r="EK77" i="1"/>
  <c r="DT77" i="1"/>
  <c r="DS77" i="1"/>
  <c r="DH77" i="1"/>
  <c r="DG77" i="1"/>
  <c r="CX77" i="1"/>
  <c r="DB77" i="1" s="1"/>
  <c r="DF77" i="1" s="1"/>
  <c r="CW77" i="1"/>
  <c r="DA77" i="1" s="1"/>
  <c r="DE77" i="1" s="1"/>
  <c r="CR77" i="1"/>
  <c r="CT77" i="1" s="1"/>
  <c r="CQ77" i="1"/>
  <c r="CS77" i="1" s="1"/>
  <c r="CH77" i="1"/>
  <c r="CG77" i="1"/>
  <c r="BT77" i="1"/>
  <c r="BS77" i="1"/>
  <c r="BG77" i="1"/>
  <c r="BF77" i="1"/>
  <c r="AF77" i="1"/>
  <c r="AB77" i="1"/>
  <c r="W77" i="1"/>
  <c r="Y77" i="1" s="1"/>
  <c r="AE77" i="1" s="1"/>
  <c r="V77" i="1"/>
  <c r="Q77" i="1"/>
  <c r="M77" i="1"/>
  <c r="EL76" i="1"/>
  <c r="EK76" i="1"/>
  <c r="DT76" i="1"/>
  <c r="DS76" i="1"/>
  <c r="DH76" i="1"/>
  <c r="DH79" i="1" s="1"/>
  <c r="DG76" i="1"/>
  <c r="CX76" i="1"/>
  <c r="CW76" i="1"/>
  <c r="DA76" i="1" s="1"/>
  <c r="CQ76" i="1"/>
  <c r="CL76" i="1"/>
  <c r="CL79" i="1" s="1"/>
  <c r="CH76" i="1"/>
  <c r="CG76" i="1"/>
  <c r="BT76" i="1"/>
  <c r="BS76" i="1"/>
  <c r="BG76" i="1"/>
  <c r="BF76" i="1"/>
  <c r="AF76" i="1"/>
  <c r="AB76" i="1"/>
  <c r="W76" i="1"/>
  <c r="V76" i="1"/>
  <c r="Q76" i="1"/>
  <c r="M76" i="1"/>
  <c r="FA75" i="1"/>
  <c r="EZ75" i="1"/>
  <c r="EY75" i="1"/>
  <c r="EX75" i="1"/>
  <c r="EW75" i="1"/>
  <c r="ET75" i="1"/>
  <c r="ES75" i="1"/>
  <c r="ER75" i="1"/>
  <c r="EQ75" i="1"/>
  <c r="EP75" i="1"/>
  <c r="EO75" i="1"/>
  <c r="EF75" i="1"/>
  <c r="EE75" i="1"/>
  <c r="EB75" i="1"/>
  <c r="EA75" i="1"/>
  <c r="DX75" i="1"/>
  <c r="DW75" i="1"/>
  <c r="DP75" i="1"/>
  <c r="DO75" i="1"/>
  <c r="DL75" i="1"/>
  <c r="DK75" i="1"/>
  <c r="DD75" i="1"/>
  <c r="DC75" i="1"/>
  <c r="CZ75" i="1"/>
  <c r="CY75" i="1"/>
  <c r="CV75" i="1"/>
  <c r="CU75" i="1"/>
  <c r="CP75" i="1"/>
  <c r="CO75" i="1"/>
  <c r="CN75" i="1"/>
  <c r="CM75" i="1"/>
  <c r="CK75" i="1"/>
  <c r="CJ75" i="1"/>
  <c r="CI75" i="1"/>
  <c r="CF75" i="1"/>
  <c r="CE75" i="1"/>
  <c r="CD75" i="1"/>
  <c r="CC75" i="1"/>
  <c r="CB75" i="1"/>
  <c r="CA75" i="1"/>
  <c r="BZ75" i="1"/>
  <c r="BY75" i="1"/>
  <c r="BX75" i="1"/>
  <c r="BW75" i="1"/>
  <c r="BP75" i="1"/>
  <c r="BO75" i="1"/>
  <c r="BK75" i="1"/>
  <c r="BJ75" i="1"/>
  <c r="BI75" i="1"/>
  <c r="BH75" i="1"/>
  <c r="BC75" i="1"/>
  <c r="BB75" i="1"/>
  <c r="AX75" i="1"/>
  <c r="AW75" i="1"/>
  <c r="AT75" i="1"/>
  <c r="AS75" i="1"/>
  <c r="AP75" i="1"/>
  <c r="AO75" i="1"/>
  <c r="AL75" i="1"/>
  <c r="AK75" i="1"/>
  <c r="AA75" i="1"/>
  <c r="Z75" i="1"/>
  <c r="U75" i="1"/>
  <c r="T75" i="1"/>
  <c r="S75" i="1"/>
  <c r="P75" i="1"/>
  <c r="O75" i="1"/>
  <c r="N75" i="1"/>
  <c r="L75" i="1"/>
  <c r="K75" i="1"/>
  <c r="J75" i="1"/>
  <c r="EL74" i="1"/>
  <c r="EK74" i="1"/>
  <c r="DT74" i="1"/>
  <c r="DS74" i="1"/>
  <c r="DH74" i="1"/>
  <c r="DG74" i="1"/>
  <c r="CX74" i="1"/>
  <c r="DB74" i="1" s="1"/>
  <c r="DF74" i="1" s="1"/>
  <c r="CW74" i="1"/>
  <c r="DA74" i="1" s="1"/>
  <c r="DE74" i="1" s="1"/>
  <c r="CR74" i="1"/>
  <c r="CT74" i="1" s="1"/>
  <c r="CQ74" i="1"/>
  <c r="CS74" i="1" s="1"/>
  <c r="CH74" i="1"/>
  <c r="CG74" i="1"/>
  <c r="BT74" i="1"/>
  <c r="BS74" i="1"/>
  <c r="BG74" i="1"/>
  <c r="BF74" i="1"/>
  <c r="AZ74" i="1"/>
  <c r="BE74" i="1" s="1"/>
  <c r="AQ74" i="1"/>
  <c r="AY74" i="1" s="1"/>
  <c r="AB74" i="1"/>
  <c r="AC74" i="1" s="1"/>
  <c r="W74" i="1"/>
  <c r="Y74" i="1" s="1"/>
  <c r="V74" i="1"/>
  <c r="Q74" i="1"/>
  <c r="M74" i="1"/>
  <c r="EL73" i="1"/>
  <c r="EK73" i="1"/>
  <c r="DT73" i="1"/>
  <c r="DS73" i="1"/>
  <c r="DH73" i="1"/>
  <c r="DG73" i="1"/>
  <c r="CX73" i="1"/>
  <c r="DB73" i="1" s="1"/>
  <c r="DF73" i="1" s="1"/>
  <c r="CW73" i="1"/>
  <c r="DA73" i="1" s="1"/>
  <c r="DE73" i="1" s="1"/>
  <c r="CR73" i="1"/>
  <c r="CT73" i="1" s="1"/>
  <c r="CQ73" i="1"/>
  <c r="CS73" i="1" s="1"/>
  <c r="CH73" i="1"/>
  <c r="CG73" i="1"/>
  <c r="BT73" i="1"/>
  <c r="BS73" i="1"/>
  <c r="BG73" i="1"/>
  <c r="BF73" i="1"/>
  <c r="AZ73" i="1"/>
  <c r="BM73" i="1" s="1"/>
  <c r="BR73" i="1" s="1"/>
  <c r="AQ73" i="1"/>
  <c r="AY73" i="1" s="1"/>
  <c r="AB73" i="1"/>
  <c r="W73" i="1"/>
  <c r="Y73" i="1" s="1"/>
  <c r="V73" i="1"/>
  <c r="Q73" i="1"/>
  <c r="M73" i="1"/>
  <c r="EL72" i="1"/>
  <c r="EK72" i="1"/>
  <c r="DT72" i="1"/>
  <c r="DS72" i="1"/>
  <c r="DS75" i="1" s="1"/>
  <c r="DH72" i="1"/>
  <c r="DG72" i="1"/>
  <c r="CX72" i="1"/>
  <c r="CW72" i="1"/>
  <c r="CQ72" i="1"/>
  <c r="CS72" i="1" s="1"/>
  <c r="CL72" i="1"/>
  <c r="CR72" i="1" s="1"/>
  <c r="CH72" i="1"/>
  <c r="CG72" i="1"/>
  <c r="BT72" i="1"/>
  <c r="BS72" i="1"/>
  <c r="BG72" i="1"/>
  <c r="BF72" i="1"/>
  <c r="AF72" i="1"/>
  <c r="AF75" i="1" s="1"/>
  <c r="AB72" i="1"/>
  <c r="W72" i="1"/>
  <c r="Y72" i="1" s="1"/>
  <c r="V72" i="1"/>
  <c r="Q72" i="1"/>
  <c r="M72" i="1"/>
  <c r="FB71" i="1"/>
  <c r="FA71" i="1"/>
  <c r="EZ71" i="1"/>
  <c r="EY71" i="1"/>
  <c r="EX71" i="1"/>
  <c r="EW71" i="1"/>
  <c r="ET71" i="1"/>
  <c r="ES71" i="1"/>
  <c r="ER71" i="1"/>
  <c r="EQ71" i="1"/>
  <c r="EP71" i="1"/>
  <c r="EO71" i="1"/>
  <c r="EF71" i="1"/>
  <c r="EE71" i="1"/>
  <c r="EB71" i="1"/>
  <c r="EA71" i="1"/>
  <c r="DY71" i="1"/>
  <c r="DX71" i="1"/>
  <c r="DW71" i="1"/>
  <c r="DP71" i="1"/>
  <c r="DO71" i="1"/>
  <c r="DL71" i="1"/>
  <c r="DK71" i="1"/>
  <c r="DD71" i="1"/>
  <c r="DC71" i="1"/>
  <c r="CZ71" i="1"/>
  <c r="CY71" i="1"/>
  <c r="CP71" i="1"/>
  <c r="CO71" i="1"/>
  <c r="CN71" i="1"/>
  <c r="CM71" i="1"/>
  <c r="CL71" i="1"/>
  <c r="CJ71" i="1"/>
  <c r="CI71" i="1"/>
  <c r="CF71" i="1"/>
  <c r="CE71" i="1"/>
  <c r="CD71" i="1"/>
  <c r="CC71" i="1"/>
  <c r="CB71" i="1"/>
  <c r="CA71" i="1"/>
  <c r="BZ71" i="1"/>
  <c r="BY71" i="1"/>
  <c r="BX71" i="1"/>
  <c r="BW71" i="1"/>
  <c r="BU71" i="1"/>
  <c r="BP71" i="1"/>
  <c r="BO71" i="1"/>
  <c r="BK71" i="1"/>
  <c r="BJ71" i="1"/>
  <c r="BI71" i="1"/>
  <c r="BH71" i="1"/>
  <c r="BC71" i="1"/>
  <c r="BB71" i="1"/>
  <c r="AX71" i="1"/>
  <c r="AW71" i="1"/>
  <c r="AT71" i="1"/>
  <c r="AS71" i="1"/>
  <c r="AP71" i="1"/>
  <c r="AO71" i="1"/>
  <c r="AL71" i="1"/>
  <c r="AK71" i="1"/>
  <c r="AA71" i="1"/>
  <c r="Z71" i="1"/>
  <c r="U71" i="1"/>
  <c r="T71" i="1"/>
  <c r="S71" i="1"/>
  <c r="P71" i="1"/>
  <c r="O71" i="1"/>
  <c r="N71" i="1"/>
  <c r="L71" i="1"/>
  <c r="K71" i="1"/>
  <c r="J71" i="1"/>
  <c r="EL70" i="1"/>
  <c r="EK70" i="1"/>
  <c r="DT70" i="1"/>
  <c r="DS70" i="1"/>
  <c r="CR70" i="1"/>
  <c r="CT70" i="1" s="1"/>
  <c r="CQ70" i="1"/>
  <c r="CH70" i="1"/>
  <c r="CG70" i="1"/>
  <c r="BT70" i="1"/>
  <c r="BS70" i="1"/>
  <c r="BG70" i="1"/>
  <c r="BF70" i="1"/>
  <c r="AN70" i="1"/>
  <c r="AF70" i="1"/>
  <c r="AB70" i="1"/>
  <c r="W70" i="1"/>
  <c r="Y70" i="1" s="1"/>
  <c r="AE70" i="1" s="1"/>
  <c r="AJ70" i="1" s="1"/>
  <c r="V70" i="1"/>
  <c r="Q70" i="1"/>
  <c r="M70" i="1"/>
  <c r="EL69" i="1"/>
  <c r="EK69" i="1"/>
  <c r="DT69" i="1"/>
  <c r="DS69" i="1"/>
  <c r="DS71" i="1" s="1"/>
  <c r="DB69" i="1"/>
  <c r="DF69" i="1" s="1"/>
  <c r="CR69" i="1"/>
  <c r="CK69" i="1"/>
  <c r="CH69" i="1"/>
  <c r="CG69" i="1"/>
  <c r="CG71" i="1" s="1"/>
  <c r="BT69" i="1"/>
  <c r="BT71" i="1" s="1"/>
  <c r="BS69" i="1"/>
  <c r="BG69" i="1"/>
  <c r="BF69" i="1"/>
  <c r="AF69" i="1"/>
  <c r="AB69" i="1"/>
  <c r="W69" i="1"/>
  <c r="Y69" i="1" s="1"/>
  <c r="V69" i="1"/>
  <c r="Q69" i="1"/>
  <c r="M69" i="1"/>
  <c r="M71" i="1" s="1"/>
  <c r="EZ68" i="1"/>
  <c r="EX68" i="1"/>
  <c r="ET68" i="1"/>
  <c r="ES68" i="1"/>
  <c r="ER68" i="1"/>
  <c r="EQ68" i="1"/>
  <c r="EP68" i="1"/>
  <c r="EO68" i="1"/>
  <c r="EF68" i="1"/>
  <c r="EE68" i="1"/>
  <c r="EB68" i="1"/>
  <c r="EA68" i="1"/>
  <c r="DX68" i="1"/>
  <c r="DW68" i="1"/>
  <c r="DP68" i="1"/>
  <c r="DL68" i="1"/>
  <c r="DK68" i="1"/>
  <c r="DD68" i="1"/>
  <c r="CZ68" i="1"/>
  <c r="CY68" i="1"/>
  <c r="CP68" i="1"/>
  <c r="CO68" i="1"/>
  <c r="CN68" i="1"/>
  <c r="CM68" i="1"/>
  <c r="CL68" i="1"/>
  <c r="CK68" i="1"/>
  <c r="CJ68" i="1"/>
  <c r="CI68" i="1"/>
  <c r="CF68" i="1"/>
  <c r="CE68" i="1"/>
  <c r="CD68" i="1"/>
  <c r="CC68" i="1"/>
  <c r="CB68" i="1"/>
  <c r="CA68" i="1"/>
  <c r="BZ68" i="1"/>
  <c r="BY68" i="1"/>
  <c r="BX68" i="1"/>
  <c r="BW68" i="1"/>
  <c r="BP68" i="1"/>
  <c r="BO68" i="1"/>
  <c r="BK68" i="1"/>
  <c r="BJ68" i="1"/>
  <c r="BI68" i="1"/>
  <c r="BH68" i="1"/>
  <c r="BC68" i="1"/>
  <c r="BB68" i="1"/>
  <c r="AX68" i="1"/>
  <c r="AW68" i="1"/>
  <c r="AT68" i="1"/>
  <c r="AS68" i="1"/>
  <c r="AP68" i="1"/>
  <c r="AO68" i="1"/>
  <c r="AL68" i="1"/>
  <c r="AK68" i="1"/>
  <c r="AA68" i="1"/>
  <c r="Z68" i="1"/>
  <c r="AB68" i="1" s="1"/>
  <c r="U68" i="1"/>
  <c r="T68" i="1"/>
  <c r="S68" i="1"/>
  <c r="P68" i="1"/>
  <c r="O68" i="1"/>
  <c r="N68" i="1"/>
  <c r="L68" i="1"/>
  <c r="K68" i="1"/>
  <c r="J68" i="1"/>
  <c r="EY67" i="1"/>
  <c r="EY68" i="1" s="1"/>
  <c r="EW67" i="1"/>
  <c r="EW68" i="1" s="1"/>
  <c r="EL67" i="1"/>
  <c r="EK67" i="1"/>
  <c r="DT67" i="1"/>
  <c r="DO67" i="1"/>
  <c r="DO68" i="1" s="1"/>
  <c r="DC67" i="1"/>
  <c r="DC68" i="1" s="1"/>
  <c r="CR67" i="1"/>
  <c r="CT67" i="1" s="1"/>
  <c r="CQ67" i="1"/>
  <c r="CH67" i="1"/>
  <c r="CG67" i="1"/>
  <c r="BT67" i="1"/>
  <c r="BS67" i="1"/>
  <c r="BG67" i="1"/>
  <c r="BF67" i="1"/>
  <c r="AF67" i="1"/>
  <c r="AB67" i="1"/>
  <c r="W67" i="1"/>
  <c r="V67" i="1"/>
  <c r="Q67" i="1"/>
  <c r="M67" i="1"/>
  <c r="EL66" i="1"/>
  <c r="EK66" i="1"/>
  <c r="DT66" i="1"/>
  <c r="DS66" i="1"/>
  <c r="DH66" i="1"/>
  <c r="DG66" i="1"/>
  <c r="CX66" i="1"/>
  <c r="DB66" i="1" s="1"/>
  <c r="CW66" i="1"/>
  <c r="DA66" i="1" s="1"/>
  <c r="CR66" i="1"/>
  <c r="CT66" i="1" s="1"/>
  <c r="CQ66" i="1"/>
  <c r="CQ68" i="1" s="1"/>
  <c r="CH66" i="1"/>
  <c r="CH68" i="1" s="1"/>
  <c r="CG66" i="1"/>
  <c r="CG68" i="1" s="1"/>
  <c r="BT66" i="1"/>
  <c r="BS66" i="1"/>
  <c r="BG66" i="1"/>
  <c r="BF66" i="1"/>
  <c r="AF66" i="1"/>
  <c r="AB66" i="1"/>
  <c r="W66" i="1"/>
  <c r="Y66" i="1" s="1"/>
  <c r="AE66" i="1" s="1"/>
  <c r="V66" i="1"/>
  <c r="Q66" i="1"/>
  <c r="R66" i="1" s="1"/>
  <c r="M66" i="1"/>
  <c r="FC65" i="1"/>
  <c r="FB65" i="1"/>
  <c r="FA65" i="1"/>
  <c r="EZ65" i="1"/>
  <c r="EY65" i="1"/>
  <c r="EX65" i="1"/>
  <c r="EW65" i="1"/>
  <c r="ET65" i="1"/>
  <c r="ES65" i="1"/>
  <c r="ER65" i="1"/>
  <c r="EQ65" i="1"/>
  <c r="EP65" i="1"/>
  <c r="EO65" i="1"/>
  <c r="EF65" i="1"/>
  <c r="EE65" i="1"/>
  <c r="EB65" i="1"/>
  <c r="EA65" i="1"/>
  <c r="DX65" i="1"/>
  <c r="DW65" i="1"/>
  <c r="DP65" i="1"/>
  <c r="DO65" i="1"/>
  <c r="DL65" i="1"/>
  <c r="DK65" i="1"/>
  <c r="DD65" i="1"/>
  <c r="DC65" i="1"/>
  <c r="CZ65" i="1"/>
  <c r="CY65" i="1"/>
  <c r="CP65" i="1"/>
  <c r="CO65" i="1"/>
  <c r="CN65" i="1"/>
  <c r="CM65" i="1"/>
  <c r="CJ65" i="1"/>
  <c r="CI65" i="1"/>
  <c r="CF65" i="1"/>
  <c r="CE65" i="1"/>
  <c r="CD65" i="1"/>
  <c r="CC65" i="1"/>
  <c r="CB65" i="1"/>
  <c r="CA65" i="1"/>
  <c r="BZ65" i="1"/>
  <c r="BY65" i="1"/>
  <c r="BX65" i="1"/>
  <c r="BW65" i="1"/>
  <c r="BU65" i="1"/>
  <c r="BP65" i="1"/>
  <c r="BO65" i="1"/>
  <c r="BK65" i="1"/>
  <c r="BJ65" i="1"/>
  <c r="BI65" i="1"/>
  <c r="BH65" i="1"/>
  <c r="BC65" i="1"/>
  <c r="BB65" i="1"/>
  <c r="AX65" i="1"/>
  <c r="AW65" i="1"/>
  <c r="AT65" i="1"/>
  <c r="AS65" i="1"/>
  <c r="AP65" i="1"/>
  <c r="AO65" i="1"/>
  <c r="AL65" i="1"/>
  <c r="AK65" i="1"/>
  <c r="AA65" i="1"/>
  <c r="Z65" i="1"/>
  <c r="U65" i="1"/>
  <c r="T65" i="1"/>
  <c r="S65" i="1"/>
  <c r="P65" i="1"/>
  <c r="O65" i="1"/>
  <c r="N65" i="1"/>
  <c r="L65" i="1"/>
  <c r="K65" i="1"/>
  <c r="J65" i="1"/>
  <c r="EL64" i="1"/>
  <c r="EK64" i="1"/>
  <c r="DT64" i="1"/>
  <c r="DS64" i="1"/>
  <c r="CR64" i="1"/>
  <c r="CK64" i="1"/>
  <c r="CK65" i="1" s="1"/>
  <c r="CH64" i="1"/>
  <c r="CG64" i="1"/>
  <c r="BT64" i="1"/>
  <c r="BS64" i="1"/>
  <c r="BG64" i="1"/>
  <c r="BF64" i="1"/>
  <c r="AF64" i="1"/>
  <c r="AB64" i="1"/>
  <c r="W64" i="1"/>
  <c r="Y64" i="1" s="1"/>
  <c r="AE64" i="1" s="1"/>
  <c r="V64" i="1"/>
  <c r="Q64" i="1"/>
  <c r="R64" i="1" s="1"/>
  <c r="M64" i="1"/>
  <c r="EL63" i="1"/>
  <c r="EK63" i="1"/>
  <c r="DT63" i="1"/>
  <c r="DS63" i="1"/>
  <c r="CR63" i="1"/>
  <c r="CT63" i="1" s="1"/>
  <c r="CQ63" i="1"/>
  <c r="CL63" i="1"/>
  <c r="CL65" i="1" s="1"/>
  <c r="CH63" i="1"/>
  <c r="CG63" i="1"/>
  <c r="CG65" i="1" s="1"/>
  <c r="BT63" i="1"/>
  <c r="BS63" i="1"/>
  <c r="BG63" i="1"/>
  <c r="BG65" i="1" s="1"/>
  <c r="BF63" i="1"/>
  <c r="AF63" i="1"/>
  <c r="AB63" i="1"/>
  <c r="W63" i="1"/>
  <c r="Y63" i="1" s="1"/>
  <c r="V63" i="1"/>
  <c r="Q63" i="1"/>
  <c r="M63" i="1"/>
  <c r="FB62" i="1"/>
  <c r="FA62" i="1"/>
  <c r="EZ62" i="1"/>
  <c r="EX62" i="1"/>
  <c r="ET62" i="1"/>
  <c r="ES62" i="1"/>
  <c r="ER62" i="1"/>
  <c r="EQ62" i="1"/>
  <c r="EP62" i="1"/>
  <c r="EO62" i="1"/>
  <c r="EF62" i="1"/>
  <c r="EE62" i="1"/>
  <c r="EB62" i="1"/>
  <c r="EA62" i="1"/>
  <c r="DX62" i="1"/>
  <c r="DW62" i="1"/>
  <c r="DP62" i="1"/>
  <c r="DO62" i="1"/>
  <c r="DL62" i="1"/>
  <c r="DK62" i="1"/>
  <c r="DD62" i="1"/>
  <c r="DC62" i="1"/>
  <c r="CZ62" i="1"/>
  <c r="CY62" i="1"/>
  <c r="CV62" i="1"/>
  <c r="CO62" i="1"/>
  <c r="CN62" i="1"/>
  <c r="CM62" i="1"/>
  <c r="CJ62" i="1"/>
  <c r="CI62" i="1"/>
  <c r="CF62" i="1"/>
  <c r="CE62" i="1"/>
  <c r="CD62" i="1"/>
  <c r="CC62" i="1"/>
  <c r="CB62" i="1"/>
  <c r="BZ62" i="1"/>
  <c r="BY62" i="1"/>
  <c r="BX62" i="1"/>
  <c r="BW62" i="1"/>
  <c r="BU62" i="1"/>
  <c r="BP62" i="1"/>
  <c r="BO62" i="1"/>
  <c r="BK62" i="1"/>
  <c r="BJ62" i="1"/>
  <c r="BI62" i="1"/>
  <c r="BH62" i="1"/>
  <c r="BC62" i="1"/>
  <c r="BB62" i="1"/>
  <c r="AX62" i="1"/>
  <c r="AW62" i="1"/>
  <c r="AT62" i="1"/>
  <c r="AS62" i="1"/>
  <c r="AP62" i="1"/>
  <c r="AO62" i="1"/>
  <c r="AL62" i="1"/>
  <c r="AA62" i="1"/>
  <c r="Z62" i="1"/>
  <c r="U62" i="1"/>
  <c r="T62" i="1"/>
  <c r="S62" i="1"/>
  <c r="P62" i="1"/>
  <c r="O62" i="1"/>
  <c r="N62" i="1"/>
  <c r="L62" i="1"/>
  <c r="K62" i="1"/>
  <c r="J62" i="1"/>
  <c r="EY61" i="1"/>
  <c r="EY62" i="1" s="1"/>
  <c r="EW61" i="1"/>
  <c r="EW62" i="1" s="1"/>
  <c r="EL61" i="1"/>
  <c r="EK61" i="1"/>
  <c r="DT61" i="1"/>
  <c r="DS61" i="1"/>
  <c r="DH61" i="1"/>
  <c r="CX61" i="1"/>
  <c r="CR61" i="1"/>
  <c r="CT61" i="1" s="1"/>
  <c r="CK61" i="1"/>
  <c r="CQ61" i="1" s="1"/>
  <c r="CH61" i="1"/>
  <c r="CA61" i="1"/>
  <c r="BT61" i="1"/>
  <c r="BS61" i="1"/>
  <c r="BG61" i="1"/>
  <c r="BF61" i="1"/>
  <c r="AZ61" i="1"/>
  <c r="BM61" i="1" s="1"/>
  <c r="BR61" i="1" s="1"/>
  <c r="AK61" i="1"/>
  <c r="AK62" i="1" s="1"/>
  <c r="AB61" i="1"/>
  <c r="W61" i="1"/>
  <c r="Y61" i="1" s="1"/>
  <c r="V61" i="1"/>
  <c r="Q61" i="1"/>
  <c r="M61" i="1"/>
  <c r="EL60" i="1"/>
  <c r="EL62" i="1" s="1"/>
  <c r="EK60" i="1"/>
  <c r="DT60" i="1"/>
  <c r="DS60" i="1"/>
  <c r="DH60" i="1"/>
  <c r="CX60" i="1"/>
  <c r="CP60" i="1"/>
  <c r="CL60" i="1"/>
  <c r="CL62" i="1" s="1"/>
  <c r="CK60" i="1"/>
  <c r="CQ60" i="1" s="1"/>
  <c r="CH60" i="1"/>
  <c r="CG60" i="1"/>
  <c r="BT60" i="1"/>
  <c r="BS60" i="1"/>
  <c r="BS62" i="1" s="1"/>
  <c r="BG60" i="1"/>
  <c r="BG62" i="1" s="1"/>
  <c r="BF60" i="1"/>
  <c r="AF60" i="1"/>
  <c r="AF62" i="1" s="1"/>
  <c r="AB60" i="1"/>
  <c r="W60" i="1"/>
  <c r="V60" i="1"/>
  <c r="Q60" i="1"/>
  <c r="M60" i="1"/>
  <c r="FA59" i="1"/>
  <c r="EZ59" i="1"/>
  <c r="EY59" i="1"/>
  <c r="EW59" i="1"/>
  <c r="ET59" i="1"/>
  <c r="ES59" i="1"/>
  <c r="ER59" i="1"/>
  <c r="EQ59" i="1"/>
  <c r="EP59" i="1"/>
  <c r="EO59" i="1"/>
  <c r="EF59" i="1"/>
  <c r="EE59" i="1"/>
  <c r="EB59" i="1"/>
  <c r="EA59" i="1"/>
  <c r="DX59" i="1"/>
  <c r="DW59" i="1"/>
  <c r="DP59" i="1"/>
  <c r="DO59" i="1"/>
  <c r="DL59" i="1"/>
  <c r="DK59" i="1"/>
  <c r="DD59" i="1"/>
  <c r="DC59" i="1"/>
  <c r="CZ59" i="1"/>
  <c r="CY59" i="1"/>
  <c r="CV59" i="1"/>
  <c r="CP59" i="1"/>
  <c r="CO59" i="1"/>
  <c r="CN59" i="1"/>
  <c r="CM59" i="1"/>
  <c r="CL59" i="1"/>
  <c r="CK59" i="1"/>
  <c r="CJ59" i="1"/>
  <c r="CI59" i="1"/>
  <c r="CF59" i="1"/>
  <c r="CE59" i="1"/>
  <c r="CD59" i="1"/>
  <c r="CC59" i="1"/>
  <c r="CB59" i="1"/>
  <c r="CA59" i="1"/>
  <c r="BZ59" i="1"/>
  <c r="BY59" i="1"/>
  <c r="BX59" i="1"/>
  <c r="BW59" i="1"/>
  <c r="BP59" i="1"/>
  <c r="BO59" i="1"/>
  <c r="BK59" i="1"/>
  <c r="BJ59" i="1"/>
  <c r="BI59" i="1"/>
  <c r="BH59" i="1"/>
  <c r="BC59" i="1"/>
  <c r="BB59" i="1"/>
  <c r="AX59" i="1"/>
  <c r="AW59" i="1"/>
  <c r="AT59" i="1"/>
  <c r="AS59" i="1"/>
  <c r="AP59" i="1"/>
  <c r="AO59" i="1"/>
  <c r="AL59" i="1"/>
  <c r="AK59" i="1"/>
  <c r="AA59" i="1"/>
  <c r="Z59" i="1"/>
  <c r="U59" i="1"/>
  <c r="T59" i="1"/>
  <c r="S59" i="1"/>
  <c r="P59" i="1"/>
  <c r="O59" i="1"/>
  <c r="N59" i="1"/>
  <c r="L59" i="1"/>
  <c r="K59" i="1"/>
  <c r="J59" i="1"/>
  <c r="EL58" i="1"/>
  <c r="EK58" i="1"/>
  <c r="DT58" i="1"/>
  <c r="DS58" i="1"/>
  <c r="DH58" i="1"/>
  <c r="CX58" i="1"/>
  <c r="DB58" i="1" s="1"/>
  <c r="DF58" i="1" s="1"/>
  <c r="CR58" i="1"/>
  <c r="CT58" i="1" s="1"/>
  <c r="CQ58" i="1"/>
  <c r="CS58" i="1" s="1"/>
  <c r="CH58" i="1"/>
  <c r="CG58" i="1"/>
  <c r="BT58" i="1"/>
  <c r="BS58" i="1"/>
  <c r="BG58" i="1"/>
  <c r="BF58" i="1"/>
  <c r="AF58" i="1"/>
  <c r="AB58" i="1"/>
  <c r="W58" i="1"/>
  <c r="Y58" i="1" s="1"/>
  <c r="AE58" i="1" s="1"/>
  <c r="V58" i="1"/>
  <c r="Q58" i="1"/>
  <c r="M58" i="1"/>
  <c r="EX57" i="1"/>
  <c r="EX59" i="1" s="1"/>
  <c r="EL57" i="1"/>
  <c r="EK57" i="1"/>
  <c r="DT57" i="1"/>
  <c r="DS57" i="1"/>
  <c r="DH57" i="1"/>
  <c r="DH59" i="1" s="1"/>
  <c r="CX57" i="1"/>
  <c r="CX59" i="1" s="1"/>
  <c r="CR57" i="1"/>
  <c r="CQ57" i="1"/>
  <c r="CS57" i="1" s="1"/>
  <c r="CH57" i="1"/>
  <c r="CG57" i="1"/>
  <c r="BT57" i="1"/>
  <c r="BS57" i="1"/>
  <c r="BG57" i="1"/>
  <c r="BG59" i="1" s="1"/>
  <c r="BF57" i="1"/>
  <c r="AF57" i="1"/>
  <c r="AB57" i="1"/>
  <c r="W57" i="1"/>
  <c r="V57" i="1"/>
  <c r="Q57" i="1"/>
  <c r="M57" i="1"/>
  <c r="M59" i="1" s="1"/>
  <c r="FD56" i="1"/>
  <c r="FC56" i="1"/>
  <c r="FB56" i="1"/>
  <c r="FA56" i="1"/>
  <c r="EZ56" i="1"/>
  <c r="EY56" i="1"/>
  <c r="EX56" i="1"/>
  <c r="EW56" i="1"/>
  <c r="ET56" i="1"/>
  <c r="ES56" i="1"/>
  <c r="ER56" i="1"/>
  <c r="EQ56" i="1"/>
  <c r="EP56" i="1"/>
  <c r="EO56" i="1"/>
  <c r="EF56" i="1"/>
  <c r="EE56" i="1"/>
  <c r="EB56" i="1"/>
  <c r="EA56" i="1"/>
  <c r="DX56" i="1"/>
  <c r="DW56" i="1"/>
  <c r="DP56" i="1"/>
  <c r="DO56" i="1"/>
  <c r="DL56" i="1"/>
  <c r="DK56" i="1"/>
  <c r="DD56" i="1"/>
  <c r="DC56" i="1"/>
  <c r="CZ56" i="1"/>
  <c r="CY56" i="1"/>
  <c r="CP56" i="1"/>
  <c r="CO56" i="1"/>
  <c r="CN56" i="1"/>
  <c r="CM56" i="1"/>
  <c r="CL56" i="1"/>
  <c r="CK56" i="1"/>
  <c r="CJ56" i="1"/>
  <c r="CI56" i="1"/>
  <c r="CF56" i="1"/>
  <c r="CE56" i="1"/>
  <c r="CD56" i="1"/>
  <c r="CC56" i="1"/>
  <c r="CB56" i="1"/>
  <c r="CA56" i="1"/>
  <c r="BZ56" i="1"/>
  <c r="BY56" i="1"/>
  <c r="BX56" i="1"/>
  <c r="BW56" i="1"/>
  <c r="BP56" i="1"/>
  <c r="BO56" i="1"/>
  <c r="BK56" i="1"/>
  <c r="BJ56" i="1"/>
  <c r="BI56" i="1"/>
  <c r="BH56" i="1"/>
  <c r="BC56" i="1"/>
  <c r="BB56" i="1"/>
  <c r="AX56" i="1"/>
  <c r="AW56" i="1"/>
  <c r="AT56" i="1"/>
  <c r="AS56" i="1"/>
  <c r="AP56" i="1"/>
  <c r="AO56" i="1"/>
  <c r="AL56" i="1"/>
  <c r="AK56" i="1"/>
  <c r="AA56" i="1"/>
  <c r="Z56" i="1"/>
  <c r="U56" i="1"/>
  <c r="T56" i="1"/>
  <c r="S56" i="1"/>
  <c r="P56" i="1"/>
  <c r="O56" i="1"/>
  <c r="N56" i="1"/>
  <c r="L56" i="1"/>
  <c r="K56" i="1"/>
  <c r="J56" i="1"/>
  <c r="I56" i="1"/>
  <c r="H56" i="1"/>
  <c r="G56" i="1"/>
  <c r="F56" i="1"/>
  <c r="EL55" i="1"/>
  <c r="EK55" i="1"/>
  <c r="DT55" i="1"/>
  <c r="DS55" i="1"/>
  <c r="CR55" i="1"/>
  <c r="CQ55" i="1"/>
  <c r="CH55" i="1"/>
  <c r="CG55" i="1"/>
  <c r="BT55" i="1"/>
  <c r="BS55" i="1"/>
  <c r="BG55" i="1"/>
  <c r="BF55" i="1"/>
  <c r="BE55" i="1"/>
  <c r="AZ55" i="1"/>
  <c r="BM55" i="1" s="1"/>
  <c r="BR55" i="1" s="1"/>
  <c r="AY55" i="1"/>
  <c r="BL55" i="1" s="1"/>
  <c r="EL54" i="1"/>
  <c r="EK54" i="1"/>
  <c r="DT54" i="1"/>
  <c r="DS54" i="1"/>
  <c r="CR54" i="1"/>
  <c r="CT54" i="1" s="1"/>
  <c r="CQ54" i="1"/>
  <c r="CS54" i="1" s="1"/>
  <c r="CH54" i="1"/>
  <c r="CG54" i="1"/>
  <c r="BT54" i="1"/>
  <c r="BS54" i="1"/>
  <c r="BG54" i="1"/>
  <c r="BF54" i="1"/>
  <c r="AF54" i="1"/>
  <c r="AB54" i="1"/>
  <c r="W54" i="1"/>
  <c r="Y54" i="1" s="1"/>
  <c r="AE54" i="1" s="1"/>
  <c r="V54" i="1"/>
  <c r="Q54" i="1"/>
  <c r="M54" i="1"/>
  <c r="EL53" i="1"/>
  <c r="EK53" i="1"/>
  <c r="DT53" i="1"/>
  <c r="DS53" i="1"/>
  <c r="DN53" i="1"/>
  <c r="DR53" i="1" s="1"/>
  <c r="DM53" i="1"/>
  <c r="CV53" i="1"/>
  <c r="CR53" i="1"/>
  <c r="CT53" i="1" s="1"/>
  <c r="CQ53" i="1"/>
  <c r="CH53" i="1"/>
  <c r="CG53" i="1"/>
  <c r="BT53" i="1"/>
  <c r="BS53" i="1"/>
  <c r="BG53" i="1"/>
  <c r="BF53" i="1"/>
  <c r="AF53" i="1"/>
  <c r="AB53" i="1"/>
  <c r="AB56" i="1" s="1"/>
  <c r="W53" i="1"/>
  <c r="Y53" i="1" s="1"/>
  <c r="V53" i="1"/>
  <c r="Q53" i="1"/>
  <c r="Q56" i="1" s="1"/>
  <c r="M53" i="1"/>
  <c r="FC52" i="1"/>
  <c r="FB52" i="1"/>
  <c r="FA52" i="1"/>
  <c r="EZ52" i="1"/>
  <c r="EY52" i="1"/>
  <c r="EX52" i="1"/>
  <c r="EW52" i="1"/>
  <c r="ET52" i="1"/>
  <c r="ES52" i="1"/>
  <c r="ER52" i="1"/>
  <c r="EQ52" i="1"/>
  <c r="EP52" i="1"/>
  <c r="EO52" i="1"/>
  <c r="EF52" i="1"/>
  <c r="EE52" i="1"/>
  <c r="EB52" i="1"/>
  <c r="EA52" i="1"/>
  <c r="DX52" i="1"/>
  <c r="DW52" i="1"/>
  <c r="DP52" i="1"/>
  <c r="DO52" i="1"/>
  <c r="DL52" i="1"/>
  <c r="DK52" i="1"/>
  <c r="DD52" i="1"/>
  <c r="DC52" i="1"/>
  <c r="CZ52" i="1"/>
  <c r="CY52" i="1"/>
  <c r="CV52" i="1"/>
  <c r="CU52" i="1"/>
  <c r="CP52" i="1"/>
  <c r="CO52" i="1"/>
  <c r="CN52" i="1"/>
  <c r="CM52" i="1"/>
  <c r="CJ52" i="1"/>
  <c r="CI52" i="1"/>
  <c r="CF52" i="1"/>
  <c r="CE52" i="1"/>
  <c r="CD52" i="1"/>
  <c r="CC52" i="1"/>
  <c r="CB52" i="1"/>
  <c r="CA52" i="1"/>
  <c r="BZ52" i="1"/>
  <c r="BY52" i="1"/>
  <c r="BX52" i="1"/>
  <c r="BW52" i="1"/>
  <c r="BU52" i="1"/>
  <c r="BP52" i="1"/>
  <c r="BO52" i="1"/>
  <c r="BK52" i="1"/>
  <c r="BJ52" i="1"/>
  <c r="BI52" i="1"/>
  <c r="BH52" i="1"/>
  <c r="BC52" i="1"/>
  <c r="BB52" i="1"/>
  <c r="AX52" i="1"/>
  <c r="AW52" i="1"/>
  <c r="AT52" i="1"/>
  <c r="AS52" i="1"/>
  <c r="AP52" i="1"/>
  <c r="AO52" i="1"/>
  <c r="AL52" i="1"/>
  <c r="AK52" i="1"/>
  <c r="AA52" i="1"/>
  <c r="Z52" i="1"/>
  <c r="U52" i="1"/>
  <c r="T52" i="1"/>
  <c r="S52" i="1"/>
  <c r="P52" i="1"/>
  <c r="O52" i="1"/>
  <c r="N52" i="1"/>
  <c r="L52" i="1"/>
  <c r="K52" i="1"/>
  <c r="J52" i="1"/>
  <c r="EL51" i="1"/>
  <c r="EK51" i="1"/>
  <c r="DT51" i="1"/>
  <c r="DS51" i="1"/>
  <c r="DH51" i="1"/>
  <c r="DG51" i="1"/>
  <c r="CX51" i="1"/>
  <c r="DB51" i="1" s="1"/>
  <c r="DF51" i="1" s="1"/>
  <c r="CW51" i="1"/>
  <c r="CR51" i="1"/>
  <c r="CT51" i="1" s="1"/>
  <c r="CK51" i="1"/>
  <c r="CK52" i="1" s="1"/>
  <c r="CH51" i="1"/>
  <c r="CG51" i="1"/>
  <c r="BT51" i="1"/>
  <c r="BS51" i="1"/>
  <c r="BG51" i="1"/>
  <c r="BF51" i="1"/>
  <c r="AF51" i="1"/>
  <c r="AF52" i="1" s="1"/>
  <c r="AB51" i="1"/>
  <c r="W51" i="1"/>
  <c r="Y51" i="1" s="1"/>
  <c r="AE51" i="1" s="1"/>
  <c r="V51" i="1"/>
  <c r="Q51" i="1"/>
  <c r="M51" i="1"/>
  <c r="EL50" i="1"/>
  <c r="EK50" i="1"/>
  <c r="DT50" i="1"/>
  <c r="DT52" i="1" s="1"/>
  <c r="DS50" i="1"/>
  <c r="DH50" i="1"/>
  <c r="DG50" i="1"/>
  <c r="CX50" i="1"/>
  <c r="CW50" i="1"/>
  <c r="DA50" i="1" s="1"/>
  <c r="CQ50" i="1"/>
  <c r="CS50" i="1" s="1"/>
  <c r="CL50" i="1"/>
  <c r="CR50" i="1" s="1"/>
  <c r="CH50" i="1"/>
  <c r="CG50" i="1"/>
  <c r="BT50" i="1"/>
  <c r="BS50" i="1"/>
  <c r="BS52" i="1" s="1"/>
  <c r="BG50" i="1"/>
  <c r="BF50" i="1"/>
  <c r="AF50" i="1"/>
  <c r="AB50" i="1"/>
  <c r="W50" i="1"/>
  <c r="V50" i="1"/>
  <c r="Q50" i="1"/>
  <c r="M50" i="1"/>
  <c r="FB49" i="1"/>
  <c r="FA49" i="1"/>
  <c r="EZ49" i="1"/>
  <c r="EX49" i="1"/>
  <c r="ET49" i="1"/>
  <c r="ES49" i="1"/>
  <c r="ER49" i="1"/>
  <c r="EQ49" i="1"/>
  <c r="EP49" i="1"/>
  <c r="EO49" i="1"/>
  <c r="EF49" i="1"/>
  <c r="EE49" i="1"/>
  <c r="EB49" i="1"/>
  <c r="EA49" i="1"/>
  <c r="DX49" i="1"/>
  <c r="DW49" i="1"/>
  <c r="DP49" i="1"/>
  <c r="DO49" i="1"/>
  <c r="DL49" i="1"/>
  <c r="DK49" i="1"/>
  <c r="DD49" i="1"/>
  <c r="DC49" i="1"/>
  <c r="CZ49" i="1"/>
  <c r="CY49" i="1"/>
  <c r="CV49" i="1"/>
  <c r="CP49" i="1"/>
  <c r="CO49" i="1"/>
  <c r="CN49" i="1"/>
  <c r="CM49" i="1"/>
  <c r="CJ49" i="1"/>
  <c r="CI49" i="1"/>
  <c r="CF49" i="1"/>
  <c r="CE49" i="1"/>
  <c r="CD49" i="1"/>
  <c r="CC49" i="1"/>
  <c r="CB49" i="1"/>
  <c r="BZ49" i="1"/>
  <c r="BY49" i="1"/>
  <c r="BX49" i="1"/>
  <c r="BW49" i="1"/>
  <c r="BP49" i="1"/>
  <c r="BO49" i="1"/>
  <c r="BK49" i="1"/>
  <c r="BJ49" i="1"/>
  <c r="BI49" i="1"/>
  <c r="BH49" i="1"/>
  <c r="BC49" i="1"/>
  <c r="AX49" i="1"/>
  <c r="AW49" i="1"/>
  <c r="AT49" i="1"/>
  <c r="AS49" i="1"/>
  <c r="AP49" i="1"/>
  <c r="AO49" i="1"/>
  <c r="AL49" i="1"/>
  <c r="AK49" i="1"/>
  <c r="U49" i="1"/>
  <c r="T49" i="1"/>
  <c r="S49" i="1"/>
  <c r="P49" i="1"/>
  <c r="O49" i="1"/>
  <c r="N49" i="1"/>
  <c r="L49" i="1"/>
  <c r="K49" i="1"/>
  <c r="J49" i="1"/>
  <c r="EL48" i="1"/>
  <c r="EK48" i="1"/>
  <c r="DT48" i="1"/>
  <c r="DS48" i="1"/>
  <c r="DH48" i="1"/>
  <c r="CX48" i="1"/>
  <c r="DB48" i="1" s="1"/>
  <c r="DF48" i="1" s="1"/>
  <c r="DJ48" i="1" s="1"/>
  <c r="DN48" i="1" s="1"/>
  <c r="DR48" i="1" s="1"/>
  <c r="DV48" i="1" s="1"/>
  <c r="DZ48" i="1" s="1"/>
  <c r="ED48" i="1" s="1"/>
  <c r="CR48" i="1"/>
  <c r="CT48" i="1" s="1"/>
  <c r="CQ48" i="1"/>
  <c r="CH48" i="1"/>
  <c r="CG48" i="1"/>
  <c r="BT48" i="1"/>
  <c r="BS48" i="1"/>
  <c r="BG48" i="1"/>
  <c r="BF48" i="1"/>
  <c r="AZ48" i="1"/>
  <c r="BM48" i="1" s="1"/>
  <c r="BR48" i="1" s="1"/>
  <c r="AQ48" i="1"/>
  <c r="AY48" i="1" s="1"/>
  <c r="BL48" i="1" s="1"/>
  <c r="AB48" i="1"/>
  <c r="Y48" i="1"/>
  <c r="W48" i="1"/>
  <c r="V48" i="1"/>
  <c r="Q48" i="1"/>
  <c r="M48" i="1"/>
  <c r="EY47" i="1"/>
  <c r="EY49" i="1" s="1"/>
  <c r="EW47" i="1"/>
  <c r="EL47" i="1"/>
  <c r="EK47" i="1"/>
  <c r="DT47" i="1"/>
  <c r="DS47" i="1"/>
  <c r="DH47" i="1"/>
  <c r="CX47" i="1"/>
  <c r="DB47" i="1" s="1"/>
  <c r="DF47" i="1" s="1"/>
  <c r="CR47" i="1"/>
  <c r="CT47" i="1" s="1"/>
  <c r="CQ47" i="1"/>
  <c r="CH47" i="1"/>
  <c r="CA47" i="1"/>
  <c r="CA49" i="1" s="1"/>
  <c r="BT47" i="1"/>
  <c r="BS47" i="1"/>
  <c r="BG47" i="1"/>
  <c r="BB47" i="1"/>
  <c r="BB49" i="1" s="1"/>
  <c r="AZ47" i="1"/>
  <c r="BM47" i="1" s="1"/>
  <c r="BR47" i="1" s="1"/>
  <c r="AU47" i="1"/>
  <c r="AM47" i="1"/>
  <c r="AQ47" i="1" s="1"/>
  <c r="AI47" i="1"/>
  <c r="AG47" i="1"/>
  <c r="AA47" i="1"/>
  <c r="AA49" i="1" s="1"/>
  <c r="Z47" i="1"/>
  <c r="Z49" i="1" s="1"/>
  <c r="W47" i="1"/>
  <c r="Y47" i="1" s="1"/>
  <c r="V47" i="1"/>
  <c r="Q47" i="1"/>
  <c r="M47" i="1"/>
  <c r="EL46" i="1"/>
  <c r="EK46" i="1"/>
  <c r="DT46" i="1"/>
  <c r="DT49" i="1" s="1"/>
  <c r="DS46" i="1"/>
  <c r="DH46" i="1"/>
  <c r="CX46" i="1"/>
  <c r="CL46" i="1"/>
  <c r="CL49" i="1" s="1"/>
  <c r="CK46" i="1"/>
  <c r="CQ46" i="1" s="1"/>
  <c r="CH46" i="1"/>
  <c r="CG46" i="1"/>
  <c r="BT46" i="1"/>
  <c r="BT49" i="1" s="1"/>
  <c r="BS46" i="1"/>
  <c r="BG46" i="1"/>
  <c r="BF46" i="1"/>
  <c r="AF46" i="1"/>
  <c r="AF49" i="1" s="1"/>
  <c r="AB46" i="1"/>
  <c r="W46" i="1"/>
  <c r="W49" i="1" s="1"/>
  <c r="V46" i="1"/>
  <c r="Q46" i="1"/>
  <c r="M46" i="1"/>
  <c r="EL45" i="1"/>
  <c r="EK45" i="1"/>
  <c r="DT45" i="1"/>
  <c r="DS45" i="1"/>
  <c r="DA45" i="1"/>
  <c r="DE45" i="1" s="1"/>
  <c r="DI45" i="1" s="1"/>
  <c r="DM45" i="1" s="1"/>
  <c r="DQ45" i="1" s="1"/>
  <c r="CV45" i="1"/>
  <c r="CQ45" i="1"/>
  <c r="CL45" i="1"/>
  <c r="CR45" i="1" s="1"/>
  <c r="CT45" i="1" s="1"/>
  <c r="CH45" i="1"/>
  <c r="CG45" i="1"/>
  <c r="BW45" i="1"/>
  <c r="BT45" i="1"/>
  <c r="BS45" i="1"/>
  <c r="BG45" i="1"/>
  <c r="BF45" i="1"/>
  <c r="AV45" i="1"/>
  <c r="AF45" i="1"/>
  <c r="AB45" i="1"/>
  <c r="W45" i="1"/>
  <c r="Y45" i="1" s="1"/>
  <c r="AE45" i="1" s="1"/>
  <c r="V45" i="1"/>
  <c r="Q45" i="1"/>
  <c r="M45" i="1"/>
  <c r="EL44" i="1"/>
  <c r="EK44" i="1"/>
  <c r="DT44" i="1"/>
  <c r="DS44" i="1"/>
  <c r="DH44" i="1"/>
  <c r="DG44" i="1"/>
  <c r="CX44" i="1"/>
  <c r="CW44" i="1"/>
  <c r="DA44" i="1" s="1"/>
  <c r="DE44" i="1" s="1"/>
  <c r="CQ44" i="1"/>
  <c r="CS44" i="1" s="1"/>
  <c r="CL44" i="1"/>
  <c r="CR44" i="1" s="1"/>
  <c r="CT44" i="1" s="1"/>
  <c r="CH44" i="1"/>
  <c r="CG44" i="1"/>
  <c r="BT44" i="1"/>
  <c r="BS44" i="1"/>
  <c r="BG44" i="1"/>
  <c r="BF44" i="1"/>
  <c r="AF44" i="1"/>
  <c r="AB44" i="1"/>
  <c r="W44" i="1"/>
  <c r="Y44" i="1" s="1"/>
  <c r="AE44" i="1" s="1"/>
  <c r="V44" i="1"/>
  <c r="Q44" i="1"/>
  <c r="M44" i="1"/>
  <c r="R44" i="1" s="1"/>
  <c r="FB43" i="1"/>
  <c r="FA43" i="1"/>
  <c r="EZ43" i="1"/>
  <c r="EY43" i="1"/>
  <c r="EX43" i="1"/>
  <c r="EW43" i="1"/>
  <c r="ET43" i="1"/>
  <c r="ES43" i="1"/>
  <c r="EQ43" i="1"/>
  <c r="EP43" i="1"/>
  <c r="EO43" i="1"/>
  <c r="EF43" i="1"/>
  <c r="EE43" i="1"/>
  <c r="EB43" i="1"/>
  <c r="EA43" i="1"/>
  <c r="DX43" i="1"/>
  <c r="DW43" i="1"/>
  <c r="DP43" i="1"/>
  <c r="DO43" i="1"/>
  <c r="DL43" i="1"/>
  <c r="DK43" i="1"/>
  <c r="DD43" i="1"/>
  <c r="DC43" i="1"/>
  <c r="CZ43" i="1"/>
  <c r="CY43" i="1"/>
  <c r="CV43" i="1"/>
  <c r="CU43" i="1"/>
  <c r="CP43" i="1"/>
  <c r="CO43" i="1"/>
  <c r="CN43" i="1"/>
  <c r="CM43" i="1"/>
  <c r="CL43" i="1"/>
  <c r="CJ43" i="1"/>
  <c r="CI43" i="1"/>
  <c r="CF43" i="1"/>
  <c r="CE43" i="1"/>
  <c r="CD43" i="1"/>
  <c r="CC43" i="1"/>
  <c r="CB43" i="1"/>
  <c r="CA43" i="1"/>
  <c r="BZ43" i="1"/>
  <c r="BY43" i="1"/>
  <c r="BX43" i="1"/>
  <c r="BW43" i="1"/>
  <c r="BP43" i="1"/>
  <c r="BO43" i="1"/>
  <c r="BK43" i="1"/>
  <c r="BJ43" i="1"/>
  <c r="BI43" i="1"/>
  <c r="BH43" i="1"/>
  <c r="BC43" i="1"/>
  <c r="BB43" i="1"/>
  <c r="AX43" i="1"/>
  <c r="AW43" i="1"/>
  <c r="AT43" i="1"/>
  <c r="AS43" i="1"/>
  <c r="AP43" i="1"/>
  <c r="AO43" i="1"/>
  <c r="AL43" i="1"/>
  <c r="AK43" i="1"/>
  <c r="AA43" i="1"/>
  <c r="AB43" i="1" s="1"/>
  <c r="Z43" i="1"/>
  <c r="U43" i="1"/>
  <c r="T43" i="1"/>
  <c r="S43" i="1"/>
  <c r="P43" i="1"/>
  <c r="O43" i="1"/>
  <c r="N43" i="1"/>
  <c r="L43" i="1"/>
  <c r="K43" i="1"/>
  <c r="J43" i="1"/>
  <c r="EL42" i="1"/>
  <c r="EK42" i="1"/>
  <c r="DT42" i="1"/>
  <c r="DS42" i="1"/>
  <c r="DH42" i="1"/>
  <c r="DG42" i="1"/>
  <c r="CX42" i="1"/>
  <c r="DB42" i="1" s="1"/>
  <c r="DF42" i="1" s="1"/>
  <c r="CW42" i="1"/>
  <c r="DA42" i="1" s="1"/>
  <c r="DE42" i="1" s="1"/>
  <c r="CS42" i="1"/>
  <c r="CR42" i="1"/>
  <c r="CT42" i="1" s="1"/>
  <c r="CQ42" i="1"/>
  <c r="CH42" i="1"/>
  <c r="CG42" i="1"/>
  <c r="BT42" i="1"/>
  <c r="BS42" i="1"/>
  <c r="BG42" i="1"/>
  <c r="BF42" i="1"/>
  <c r="AF42" i="1"/>
  <c r="AB42" i="1"/>
  <c r="W42" i="1"/>
  <c r="Y42" i="1" s="1"/>
  <c r="AE42" i="1" s="1"/>
  <c r="V42" i="1"/>
  <c r="Q42" i="1"/>
  <c r="M42" i="1"/>
  <c r="EL41" i="1"/>
  <c r="EK41" i="1"/>
  <c r="DT41" i="1"/>
  <c r="DS41" i="1"/>
  <c r="DH41" i="1"/>
  <c r="DG41" i="1"/>
  <c r="CX41" i="1"/>
  <c r="DB41" i="1" s="1"/>
  <c r="DF41" i="1" s="1"/>
  <c r="CW41" i="1"/>
  <c r="CR41" i="1"/>
  <c r="CT41" i="1" s="1"/>
  <c r="CK41" i="1"/>
  <c r="CK43" i="1" s="1"/>
  <c r="CH41" i="1"/>
  <c r="CG41" i="1"/>
  <c r="BT41" i="1"/>
  <c r="BS41" i="1"/>
  <c r="BG41" i="1"/>
  <c r="BF41" i="1"/>
  <c r="AF41" i="1"/>
  <c r="AB41" i="1"/>
  <c r="W41" i="1"/>
  <c r="V41" i="1"/>
  <c r="Q41" i="1"/>
  <c r="M41" i="1"/>
  <c r="EL40" i="1"/>
  <c r="EK40" i="1"/>
  <c r="DT40" i="1"/>
  <c r="DS40" i="1"/>
  <c r="DH40" i="1"/>
  <c r="DG40" i="1"/>
  <c r="CX40" i="1"/>
  <c r="CW40" i="1"/>
  <c r="DA40" i="1" s="1"/>
  <c r="CR40" i="1"/>
  <c r="CQ40" i="1"/>
  <c r="CH40" i="1"/>
  <c r="CH43" i="1" s="1"/>
  <c r="CG40" i="1"/>
  <c r="BT40" i="1"/>
  <c r="BS40" i="1"/>
  <c r="BG40" i="1"/>
  <c r="BF40" i="1"/>
  <c r="AF40" i="1"/>
  <c r="AB40" i="1"/>
  <c r="W40" i="1"/>
  <c r="Y40" i="1" s="1"/>
  <c r="AE40" i="1" s="1"/>
  <c r="V40" i="1"/>
  <c r="Q40" i="1"/>
  <c r="M40" i="1"/>
  <c r="R40" i="1" s="1"/>
  <c r="FC39" i="1"/>
  <c r="FB39" i="1"/>
  <c r="FA39" i="1"/>
  <c r="EZ39" i="1"/>
  <c r="EY39" i="1"/>
  <c r="EX39" i="1"/>
  <c r="EW39" i="1"/>
  <c r="ET39" i="1"/>
  <c r="ES39" i="1"/>
  <c r="EP39" i="1"/>
  <c r="EO39" i="1"/>
  <c r="EF39" i="1"/>
  <c r="EE39" i="1"/>
  <c r="EB39" i="1"/>
  <c r="EA39" i="1"/>
  <c r="DX39" i="1"/>
  <c r="DW39" i="1"/>
  <c r="DP39" i="1"/>
  <c r="DO39" i="1"/>
  <c r="DL39" i="1"/>
  <c r="DK39" i="1"/>
  <c r="DD39" i="1"/>
  <c r="DC39" i="1"/>
  <c r="CZ39" i="1"/>
  <c r="CY39" i="1"/>
  <c r="CU39" i="1"/>
  <c r="CO39" i="1"/>
  <c r="CN39" i="1"/>
  <c r="CM39" i="1"/>
  <c r="CL39" i="1"/>
  <c r="CK39" i="1"/>
  <c r="CJ39" i="1"/>
  <c r="CI39" i="1"/>
  <c r="CF39" i="1"/>
  <c r="CE39" i="1"/>
  <c r="CD39" i="1"/>
  <c r="CC39" i="1"/>
  <c r="CB39" i="1"/>
  <c r="CA39" i="1"/>
  <c r="BZ39" i="1"/>
  <c r="BY39" i="1"/>
  <c r="BW39" i="1"/>
  <c r="BP39" i="1"/>
  <c r="BO39" i="1"/>
  <c r="BK39" i="1"/>
  <c r="BJ39" i="1"/>
  <c r="BI39" i="1"/>
  <c r="BH39" i="1"/>
  <c r="BC39" i="1"/>
  <c r="BB39" i="1"/>
  <c r="AX39" i="1"/>
  <c r="AW39" i="1"/>
  <c r="AT39" i="1"/>
  <c r="AS39" i="1"/>
  <c r="AP39" i="1"/>
  <c r="AO39" i="1"/>
  <c r="AL39" i="1"/>
  <c r="AK39" i="1"/>
  <c r="AA39" i="1"/>
  <c r="Z39" i="1"/>
  <c r="AB39" i="1" s="1"/>
  <c r="U39" i="1"/>
  <c r="T39" i="1"/>
  <c r="S39" i="1"/>
  <c r="P39" i="1"/>
  <c r="O39" i="1"/>
  <c r="N39" i="1"/>
  <c r="L39" i="1"/>
  <c r="K39" i="1"/>
  <c r="J39" i="1"/>
  <c r="EL38" i="1"/>
  <c r="EK38" i="1"/>
  <c r="DT38" i="1"/>
  <c r="DS38" i="1"/>
  <c r="DH38" i="1"/>
  <c r="DG38" i="1"/>
  <c r="CX38" i="1"/>
  <c r="DB38" i="1" s="1"/>
  <c r="DF38" i="1" s="1"/>
  <c r="CW38" i="1"/>
  <c r="DA38" i="1" s="1"/>
  <c r="DE38" i="1" s="1"/>
  <c r="CT38" i="1"/>
  <c r="CS38" i="1"/>
  <c r="CR38" i="1"/>
  <c r="CQ38" i="1"/>
  <c r="CH38" i="1"/>
  <c r="CG38" i="1"/>
  <c r="BT38" i="1"/>
  <c r="BS38" i="1"/>
  <c r="BG38" i="1"/>
  <c r="BF38" i="1"/>
  <c r="AF38" i="1"/>
  <c r="AB38" i="1"/>
  <c r="W38" i="1"/>
  <c r="Y38" i="1" s="1"/>
  <c r="AE38" i="1" s="1"/>
  <c r="V38" i="1"/>
  <c r="Q38" i="1"/>
  <c r="M38" i="1"/>
  <c r="EL37" i="1"/>
  <c r="EK37" i="1"/>
  <c r="EK39" i="1" s="1"/>
  <c r="DZ37" i="1"/>
  <c r="DT37" i="1"/>
  <c r="DS37" i="1"/>
  <c r="DG37" i="1"/>
  <c r="CW37" i="1"/>
  <c r="CV37" i="1"/>
  <c r="CX37" i="1" s="1"/>
  <c r="CR37" i="1"/>
  <c r="CR39" i="1" s="1"/>
  <c r="CQ37" i="1"/>
  <c r="CQ39" i="1" s="1"/>
  <c r="CP37" i="1"/>
  <c r="CH37" i="1"/>
  <c r="CG37" i="1"/>
  <c r="BX37" i="1"/>
  <c r="BX39" i="1" s="1"/>
  <c r="BT37" i="1"/>
  <c r="BT39" i="1" s="1"/>
  <c r="BS37" i="1"/>
  <c r="BG37" i="1"/>
  <c r="BF37" i="1"/>
  <c r="AU37" i="1"/>
  <c r="AM37" i="1"/>
  <c r="AI37" i="1"/>
  <c r="AG37" i="1"/>
  <c r="AF37" i="1"/>
  <c r="AB37" i="1"/>
  <c r="AC37" i="1" s="1"/>
  <c r="W37" i="1"/>
  <c r="V37" i="1"/>
  <c r="Q37" i="1"/>
  <c r="M37" i="1"/>
  <c r="FC36" i="1"/>
  <c r="FB36" i="1"/>
  <c r="FA36" i="1"/>
  <c r="EZ36" i="1"/>
  <c r="EX36" i="1"/>
  <c r="ET36" i="1"/>
  <c r="ES36" i="1"/>
  <c r="ER36" i="1"/>
  <c r="EQ36" i="1"/>
  <c r="EP36" i="1"/>
  <c r="EO36" i="1"/>
  <c r="EF36" i="1"/>
  <c r="EE36" i="1"/>
  <c r="EB36" i="1"/>
  <c r="EA36" i="1"/>
  <c r="DX36" i="1"/>
  <c r="DW36" i="1"/>
  <c r="DP36" i="1"/>
  <c r="DL36" i="1"/>
  <c r="DK36" i="1"/>
  <c r="DD36" i="1"/>
  <c r="DC36" i="1"/>
  <c r="CZ36" i="1"/>
  <c r="CY36" i="1"/>
  <c r="CV36" i="1"/>
  <c r="CP36" i="1"/>
  <c r="CO36" i="1"/>
  <c r="CN36" i="1"/>
  <c r="CM36" i="1"/>
  <c r="CJ36" i="1"/>
  <c r="CI36" i="1"/>
  <c r="CF36" i="1"/>
  <c r="CE36" i="1"/>
  <c r="CD36" i="1"/>
  <c r="CC36" i="1"/>
  <c r="CB36" i="1"/>
  <c r="CA36" i="1"/>
  <c r="BZ36" i="1"/>
  <c r="BY36" i="1"/>
  <c r="BX36" i="1"/>
  <c r="BW36" i="1"/>
  <c r="BP36" i="1"/>
  <c r="BO36" i="1"/>
  <c r="BK36" i="1"/>
  <c r="BJ36" i="1"/>
  <c r="BI36" i="1"/>
  <c r="BH36" i="1"/>
  <c r="BC36" i="1"/>
  <c r="BB36" i="1"/>
  <c r="AX36" i="1"/>
  <c r="AW36" i="1"/>
  <c r="AT36" i="1"/>
  <c r="AS36" i="1"/>
  <c r="AP36" i="1"/>
  <c r="AO36" i="1"/>
  <c r="AL36" i="1"/>
  <c r="AK36" i="1"/>
  <c r="AA36" i="1"/>
  <c r="Z36" i="1"/>
  <c r="U36" i="1"/>
  <c r="T36" i="1"/>
  <c r="S36" i="1"/>
  <c r="P36" i="1"/>
  <c r="O36" i="1"/>
  <c r="N36" i="1"/>
  <c r="L36" i="1"/>
  <c r="K36" i="1"/>
  <c r="J36" i="1"/>
  <c r="EY35" i="1"/>
  <c r="EY36" i="1" s="1"/>
  <c r="EW35" i="1"/>
  <c r="EL35" i="1"/>
  <c r="EK35" i="1"/>
  <c r="DT35" i="1"/>
  <c r="DO35" i="1"/>
  <c r="DS35" i="1" s="1"/>
  <c r="DH35" i="1"/>
  <c r="CX35" i="1"/>
  <c r="DB35" i="1" s="1"/>
  <c r="DF35" i="1" s="1"/>
  <c r="CW35" i="1"/>
  <c r="DA35" i="1" s="1"/>
  <c r="DE35" i="1" s="1"/>
  <c r="CR35" i="1"/>
  <c r="CT35" i="1" s="1"/>
  <c r="CQ35" i="1"/>
  <c r="CS35" i="1" s="1"/>
  <c r="CH35" i="1"/>
  <c r="CG35" i="1"/>
  <c r="BU35" i="1"/>
  <c r="BT35" i="1"/>
  <c r="BS35" i="1"/>
  <c r="BG35" i="1"/>
  <c r="BF35" i="1"/>
  <c r="AF35" i="1"/>
  <c r="AB35" i="1"/>
  <c r="W35" i="1"/>
  <c r="V35" i="1"/>
  <c r="Q35" i="1"/>
  <c r="M35" i="1"/>
  <c r="EL34" i="1"/>
  <c r="EK34" i="1"/>
  <c r="DT34" i="1"/>
  <c r="DS34" i="1"/>
  <c r="DH34" i="1"/>
  <c r="CX34" i="1"/>
  <c r="CL34" i="1"/>
  <c r="CL36" i="1" s="1"/>
  <c r="CK34" i="1"/>
  <c r="CQ34" i="1" s="1"/>
  <c r="CH34" i="1"/>
  <c r="CG34" i="1"/>
  <c r="BU34" i="1"/>
  <c r="BT34" i="1"/>
  <c r="BS34" i="1"/>
  <c r="BG34" i="1"/>
  <c r="BF34" i="1"/>
  <c r="BF36" i="1" s="1"/>
  <c r="AF34" i="1"/>
  <c r="AB34" i="1"/>
  <c r="W34" i="1"/>
  <c r="Y34" i="1" s="1"/>
  <c r="AE34" i="1" s="1"/>
  <c r="V34" i="1"/>
  <c r="V36" i="1" s="1"/>
  <c r="Q34" i="1"/>
  <c r="M34" i="1"/>
  <c r="FC33" i="1"/>
  <c r="FB33" i="1"/>
  <c r="FA33" i="1"/>
  <c r="EZ33" i="1"/>
  <c r="EX33" i="1"/>
  <c r="ET33" i="1"/>
  <c r="ES33" i="1"/>
  <c r="ER33" i="1"/>
  <c r="EQ33" i="1"/>
  <c r="EP33" i="1"/>
  <c r="EO33" i="1"/>
  <c r="EF33" i="1"/>
  <c r="EE33" i="1"/>
  <c r="EB33" i="1"/>
  <c r="EA33" i="1"/>
  <c r="DX33" i="1"/>
  <c r="DW33" i="1"/>
  <c r="DP33" i="1"/>
  <c r="DL33" i="1"/>
  <c r="DK33" i="1"/>
  <c r="DD33" i="1"/>
  <c r="DC33" i="1"/>
  <c r="CZ33" i="1"/>
  <c r="CY33" i="1"/>
  <c r="CV33" i="1"/>
  <c r="CU33" i="1"/>
  <c r="CP33" i="1"/>
  <c r="CO33" i="1"/>
  <c r="CN33" i="1"/>
  <c r="CM33" i="1"/>
  <c r="CJ33" i="1"/>
  <c r="CI33" i="1"/>
  <c r="CF33" i="1"/>
  <c r="CE33" i="1"/>
  <c r="CD33" i="1"/>
  <c r="CC33" i="1"/>
  <c r="CB33" i="1"/>
  <c r="CA33" i="1"/>
  <c r="BZ33" i="1"/>
  <c r="BY33" i="1"/>
  <c r="BX33" i="1"/>
  <c r="BP33" i="1"/>
  <c r="BK33" i="1"/>
  <c r="BJ33" i="1"/>
  <c r="BI33" i="1"/>
  <c r="BH33" i="1"/>
  <c r="BC33" i="1"/>
  <c r="AX33" i="1"/>
  <c r="AW33" i="1"/>
  <c r="AV33" i="1"/>
  <c r="AT33" i="1"/>
  <c r="AS33" i="1"/>
  <c r="AP33" i="1"/>
  <c r="AO33" i="1"/>
  <c r="AL33" i="1"/>
  <c r="AK33" i="1"/>
  <c r="AA33" i="1"/>
  <c r="Z33" i="1"/>
  <c r="U33" i="1"/>
  <c r="T33" i="1"/>
  <c r="S33" i="1"/>
  <c r="P33" i="1"/>
  <c r="O33" i="1"/>
  <c r="N33" i="1"/>
  <c r="L33" i="1"/>
  <c r="K33" i="1"/>
  <c r="J33" i="1"/>
  <c r="EY32" i="1"/>
  <c r="EW32" i="1"/>
  <c r="DG32" i="1" s="1"/>
  <c r="EL32" i="1"/>
  <c r="EK32" i="1"/>
  <c r="DT32" i="1"/>
  <c r="DO32" i="1"/>
  <c r="DS32" i="1" s="1"/>
  <c r="DH32" i="1"/>
  <c r="CX32" i="1"/>
  <c r="DB32" i="1" s="1"/>
  <c r="DF32" i="1" s="1"/>
  <c r="CW32" i="1"/>
  <c r="DA32" i="1" s="1"/>
  <c r="DE32" i="1" s="1"/>
  <c r="CR32" i="1"/>
  <c r="CT32" i="1" s="1"/>
  <c r="CK32" i="1"/>
  <c r="CK33" i="1" s="1"/>
  <c r="CH32" i="1"/>
  <c r="CG32" i="1"/>
  <c r="BT32" i="1"/>
  <c r="BV32" i="1" s="1"/>
  <c r="BO32" i="1"/>
  <c r="BS32" i="1" s="1"/>
  <c r="BG32" i="1"/>
  <c r="BB32" i="1"/>
  <c r="BB33" i="1" s="1"/>
  <c r="AZ32" i="1"/>
  <c r="BM32" i="1" s="1"/>
  <c r="BR32" i="1" s="1"/>
  <c r="AQ32" i="1"/>
  <c r="AY32" i="1" s="1"/>
  <c r="AB32" i="1"/>
  <c r="W32" i="1"/>
  <c r="Y32" i="1" s="1"/>
  <c r="V32" i="1"/>
  <c r="Q32" i="1"/>
  <c r="M32" i="1"/>
  <c r="EY31" i="1"/>
  <c r="EY33" i="1" s="1"/>
  <c r="EW31" i="1"/>
  <c r="EW33" i="1" s="1"/>
  <c r="EL31" i="1"/>
  <c r="EK31" i="1"/>
  <c r="DT31" i="1"/>
  <c r="DO31" i="1"/>
  <c r="DS31" i="1" s="1"/>
  <c r="DH31" i="1"/>
  <c r="CX31" i="1"/>
  <c r="DB31" i="1" s="1"/>
  <c r="DF31" i="1" s="1"/>
  <c r="CW31" i="1"/>
  <c r="DA31" i="1" s="1"/>
  <c r="DE31" i="1" s="1"/>
  <c r="CR31" i="1"/>
  <c r="CT31" i="1" s="1"/>
  <c r="CQ31" i="1"/>
  <c r="CS31" i="1" s="1"/>
  <c r="CH31" i="1"/>
  <c r="CG31" i="1"/>
  <c r="BW31" i="1"/>
  <c r="BW33" i="1" s="1"/>
  <c r="BT31" i="1"/>
  <c r="BO31" i="1"/>
  <c r="BS31" i="1" s="1"/>
  <c r="BG31" i="1"/>
  <c r="BF31" i="1"/>
  <c r="AZ31" i="1"/>
  <c r="BM31" i="1" s="1"/>
  <c r="BR31" i="1" s="1"/>
  <c r="AQ31" i="1"/>
  <c r="AY31" i="1" s="1"/>
  <c r="AB31" i="1"/>
  <c r="W31" i="1"/>
  <c r="Y31" i="1" s="1"/>
  <c r="V31" i="1"/>
  <c r="Q31" i="1"/>
  <c r="M31" i="1"/>
  <c r="EL30" i="1"/>
  <c r="EL33" i="1" s="1"/>
  <c r="EK30" i="1"/>
  <c r="DT30" i="1"/>
  <c r="DS30" i="1"/>
  <c r="DH30" i="1"/>
  <c r="DH33" i="1" s="1"/>
  <c r="DG30" i="1"/>
  <c r="CX30" i="1"/>
  <c r="CW30" i="1"/>
  <c r="CQ30" i="1"/>
  <c r="CS30" i="1" s="1"/>
  <c r="CL30" i="1"/>
  <c r="CL33" i="1" s="1"/>
  <c r="CH30" i="1"/>
  <c r="CG30" i="1"/>
  <c r="BT30" i="1"/>
  <c r="BS30" i="1"/>
  <c r="BG30" i="1"/>
  <c r="BF30" i="1"/>
  <c r="AF30" i="1"/>
  <c r="AF33" i="1" s="1"/>
  <c r="AB30" i="1"/>
  <c r="W30" i="1"/>
  <c r="V30" i="1"/>
  <c r="Q30" i="1"/>
  <c r="M30" i="1"/>
  <c r="M33" i="1" s="1"/>
  <c r="FB29" i="1"/>
  <c r="FA29" i="1"/>
  <c r="EZ29" i="1"/>
  <c r="EX29" i="1"/>
  <c r="EW29" i="1"/>
  <c r="ET29" i="1"/>
  <c r="ES29" i="1"/>
  <c r="ER29" i="1"/>
  <c r="EQ29" i="1"/>
  <c r="EP29" i="1"/>
  <c r="EO29" i="1"/>
  <c r="EF29" i="1"/>
  <c r="EE29" i="1"/>
  <c r="EB29" i="1"/>
  <c r="EA29" i="1"/>
  <c r="DY29" i="1"/>
  <c r="DX29" i="1"/>
  <c r="DW29" i="1"/>
  <c r="DP29" i="1"/>
  <c r="DL29" i="1"/>
  <c r="DK29" i="1"/>
  <c r="DD29" i="1"/>
  <c r="DC29" i="1"/>
  <c r="CZ29" i="1"/>
  <c r="CY29" i="1"/>
  <c r="CV29" i="1"/>
  <c r="CU29" i="1"/>
  <c r="CT29" i="1"/>
  <c r="CS29" i="1"/>
  <c r="CP29" i="1"/>
  <c r="CO29" i="1"/>
  <c r="CN29" i="1"/>
  <c r="CM29" i="1"/>
  <c r="CL29" i="1"/>
  <c r="CK29" i="1"/>
  <c r="CJ29" i="1"/>
  <c r="CI29" i="1"/>
  <c r="CF29" i="1"/>
  <c r="CE29" i="1"/>
  <c r="CD29" i="1"/>
  <c r="CC29" i="1"/>
  <c r="CB29" i="1"/>
  <c r="CA29" i="1"/>
  <c r="BZ29" i="1"/>
  <c r="BY29" i="1"/>
  <c r="BW29" i="1"/>
  <c r="BP29" i="1"/>
  <c r="BO29" i="1"/>
  <c r="BK29" i="1"/>
  <c r="BJ29" i="1"/>
  <c r="BI29" i="1"/>
  <c r="BH29" i="1"/>
  <c r="BC29" i="1"/>
  <c r="BB29" i="1"/>
  <c r="AX29" i="1"/>
  <c r="AW29" i="1"/>
  <c r="AT29" i="1"/>
  <c r="AS29" i="1"/>
  <c r="AP29" i="1"/>
  <c r="AO29" i="1"/>
  <c r="AL29" i="1"/>
  <c r="AK29" i="1"/>
  <c r="AA29" i="1"/>
  <c r="AB29" i="1" s="1"/>
  <c r="Z29" i="1"/>
  <c r="U29" i="1"/>
  <c r="T29" i="1"/>
  <c r="S29" i="1"/>
  <c r="P29" i="1"/>
  <c r="O29" i="1"/>
  <c r="N29" i="1"/>
  <c r="L29" i="1"/>
  <c r="K29" i="1"/>
  <c r="J29" i="1"/>
  <c r="EY28" i="1"/>
  <c r="EY29" i="1" s="1"/>
  <c r="EL28" i="1"/>
  <c r="EK28" i="1"/>
  <c r="DT28" i="1"/>
  <c r="DO28" i="1"/>
  <c r="DO29" i="1" s="1"/>
  <c r="DH28" i="1"/>
  <c r="DG28" i="1"/>
  <c r="CX28" i="1"/>
  <c r="DB28" i="1" s="1"/>
  <c r="DF28" i="1" s="1"/>
  <c r="CW28" i="1"/>
  <c r="DA28" i="1" s="1"/>
  <c r="DE28" i="1" s="1"/>
  <c r="CR28" i="1"/>
  <c r="CQ28" i="1"/>
  <c r="CH28" i="1"/>
  <c r="CG28" i="1"/>
  <c r="BT28" i="1"/>
  <c r="BS28" i="1"/>
  <c r="BG28" i="1"/>
  <c r="BF28" i="1"/>
  <c r="AF28" i="1"/>
  <c r="AB28" i="1"/>
  <c r="W28" i="1"/>
  <c r="Y28" i="1" s="1"/>
  <c r="AE28" i="1" s="1"/>
  <c r="V28" i="1"/>
  <c r="Q28" i="1"/>
  <c r="M28" i="1"/>
  <c r="EL27" i="1"/>
  <c r="EK27" i="1"/>
  <c r="DT27" i="1"/>
  <c r="DS27" i="1"/>
  <c r="DH27" i="1"/>
  <c r="DG27" i="1"/>
  <c r="DA27" i="1"/>
  <c r="DA29" i="1" s="1"/>
  <c r="CX27" i="1"/>
  <c r="CW27" i="1"/>
  <c r="CR27" i="1"/>
  <c r="CQ27" i="1"/>
  <c r="CH27" i="1"/>
  <c r="CH29" i="1" s="1"/>
  <c r="CG27" i="1"/>
  <c r="BX27" i="1"/>
  <c r="BX29" i="1" s="1"/>
  <c r="BT27" i="1"/>
  <c r="BS27" i="1"/>
  <c r="BG27" i="1"/>
  <c r="BF27" i="1"/>
  <c r="AF27" i="1"/>
  <c r="AB27" i="1"/>
  <c r="W27" i="1"/>
  <c r="V27" i="1"/>
  <c r="Q27" i="1"/>
  <c r="Q29" i="1" s="1"/>
  <c r="M27" i="1"/>
  <c r="M29" i="1" s="1"/>
  <c r="FA26" i="1"/>
  <c r="ER26" i="1"/>
  <c r="EL25" i="1"/>
  <c r="EK25" i="1"/>
  <c r="DT25" i="1"/>
  <c r="DS25" i="1"/>
  <c r="DH25" i="1"/>
  <c r="DG25" i="1"/>
  <c r="CX25" i="1"/>
  <c r="DB25" i="1" s="1"/>
  <c r="DF25" i="1" s="1"/>
  <c r="CW25" i="1"/>
  <c r="DA25" i="1" s="1"/>
  <c r="DE25" i="1" s="1"/>
  <c r="CR25" i="1"/>
  <c r="CT25" i="1" s="1"/>
  <c r="CQ25" i="1"/>
  <c r="CS25" i="1" s="1"/>
  <c r="CH25" i="1"/>
  <c r="CG25" i="1"/>
  <c r="BT25" i="1"/>
  <c r="BS25" i="1"/>
  <c r="BG25" i="1"/>
  <c r="BF25" i="1"/>
  <c r="AU25" i="1"/>
  <c r="AM25" i="1"/>
  <c r="AI25" i="1"/>
  <c r="AG25" i="1"/>
  <c r="AF25" i="1"/>
  <c r="AB25" i="1"/>
  <c r="AC25" i="1" s="1"/>
  <c r="W25" i="1"/>
  <c r="Y25" i="1" s="1"/>
  <c r="AE25" i="1" s="1"/>
  <c r="V25" i="1"/>
  <c r="Q25" i="1"/>
  <c r="M25" i="1"/>
  <c r="EZ24" i="1"/>
  <c r="EZ26" i="1" s="1"/>
  <c r="EX24" i="1"/>
  <c r="EX26" i="1" s="1"/>
  <c r="ET24" i="1"/>
  <c r="ET26" i="1" s="1"/>
  <c r="ES24" i="1"/>
  <c r="ES26" i="1" s="1"/>
  <c r="EQ24" i="1"/>
  <c r="EQ26" i="1" s="1"/>
  <c r="EP24" i="1"/>
  <c r="EP26" i="1" s="1"/>
  <c r="EO24" i="1"/>
  <c r="EO26" i="1" s="1"/>
  <c r="EF24" i="1"/>
  <c r="EF26" i="1" s="1"/>
  <c r="EE24" i="1"/>
  <c r="EE26" i="1" s="1"/>
  <c r="EB24" i="1"/>
  <c r="EB26" i="1" s="1"/>
  <c r="EA24" i="1"/>
  <c r="EA26" i="1" s="1"/>
  <c r="DX24" i="1"/>
  <c r="DX26" i="1" s="1"/>
  <c r="DW24" i="1"/>
  <c r="DW26" i="1" s="1"/>
  <c r="DP24" i="1"/>
  <c r="DP26" i="1" s="1"/>
  <c r="DO24" i="1"/>
  <c r="DO26" i="1" s="1"/>
  <c r="DL24" i="1"/>
  <c r="DL26" i="1" s="1"/>
  <c r="DK24" i="1"/>
  <c r="DK26" i="1" s="1"/>
  <c r="DD24" i="1"/>
  <c r="DD26" i="1" s="1"/>
  <c r="DC24" i="1"/>
  <c r="DC26" i="1" s="1"/>
  <c r="CZ24" i="1"/>
  <c r="CZ26" i="1" s="1"/>
  <c r="CY24" i="1"/>
  <c r="CY26" i="1" s="1"/>
  <c r="CV24" i="1"/>
  <c r="CV26" i="1" s="1"/>
  <c r="CP24" i="1"/>
  <c r="CP26" i="1" s="1"/>
  <c r="CO24" i="1"/>
  <c r="CO26" i="1" s="1"/>
  <c r="CN24" i="1"/>
  <c r="CN26" i="1" s="1"/>
  <c r="CM24" i="1"/>
  <c r="CM26" i="1" s="1"/>
  <c r="CK24" i="1"/>
  <c r="CK26" i="1" s="1"/>
  <c r="CJ24" i="1"/>
  <c r="CJ26" i="1" s="1"/>
  <c r="CI24" i="1"/>
  <c r="CI26" i="1" s="1"/>
  <c r="CF24" i="1"/>
  <c r="CF26" i="1" s="1"/>
  <c r="CE24" i="1"/>
  <c r="CE26" i="1" s="1"/>
  <c r="CD24" i="1"/>
  <c r="CD26" i="1" s="1"/>
  <c r="CC24" i="1"/>
  <c r="CC26" i="1" s="1"/>
  <c r="CB24" i="1"/>
  <c r="CB26" i="1" s="1"/>
  <c r="CA24" i="1"/>
  <c r="CA26" i="1" s="1"/>
  <c r="BZ24" i="1"/>
  <c r="BZ26" i="1" s="1"/>
  <c r="BY24" i="1"/>
  <c r="BY26" i="1" s="1"/>
  <c r="BX24" i="1"/>
  <c r="BX26" i="1" s="1"/>
  <c r="BW24" i="1"/>
  <c r="BW26" i="1" s="1"/>
  <c r="BP24" i="1"/>
  <c r="BP26" i="1" s="1"/>
  <c r="BO24" i="1"/>
  <c r="BO26" i="1" s="1"/>
  <c r="BK24" i="1"/>
  <c r="BK26" i="1" s="1"/>
  <c r="BJ24" i="1"/>
  <c r="BJ26" i="1" s="1"/>
  <c r="BI24" i="1"/>
  <c r="BI26" i="1" s="1"/>
  <c r="BH24" i="1"/>
  <c r="BH26" i="1" s="1"/>
  <c r="BC24" i="1"/>
  <c r="BC26" i="1" s="1"/>
  <c r="BB24" i="1"/>
  <c r="BB26" i="1" s="1"/>
  <c r="AX24" i="1"/>
  <c r="AX26" i="1" s="1"/>
  <c r="AW24" i="1"/>
  <c r="AW26" i="1" s="1"/>
  <c r="AT24" i="1"/>
  <c r="AT26" i="1" s="1"/>
  <c r="AS24" i="1"/>
  <c r="AS26" i="1" s="1"/>
  <c r="AP24" i="1"/>
  <c r="AP26" i="1" s="1"/>
  <c r="AO24" i="1"/>
  <c r="AO26" i="1" s="1"/>
  <c r="AL24" i="1"/>
  <c r="AL26" i="1" s="1"/>
  <c r="AK24" i="1"/>
  <c r="AK26" i="1" s="1"/>
  <c r="AA24" i="1"/>
  <c r="AA26" i="1" s="1"/>
  <c r="Z24" i="1"/>
  <c r="Z26" i="1" s="1"/>
  <c r="U24" i="1"/>
  <c r="U26" i="1" s="1"/>
  <c r="T24" i="1"/>
  <c r="T26" i="1" s="1"/>
  <c r="S24" i="1"/>
  <c r="S26" i="1" s="1"/>
  <c r="P24" i="1"/>
  <c r="P26" i="1" s="1"/>
  <c r="O24" i="1"/>
  <c r="O26" i="1" s="1"/>
  <c r="N24" i="1"/>
  <c r="N26" i="1" s="1"/>
  <c r="L24" i="1"/>
  <c r="L26" i="1" s="1"/>
  <c r="K24" i="1"/>
  <c r="K26" i="1" s="1"/>
  <c r="J24" i="1"/>
  <c r="J26" i="1" s="1"/>
  <c r="EL23" i="1"/>
  <c r="EK23" i="1"/>
  <c r="DT23" i="1"/>
  <c r="DS23" i="1"/>
  <c r="DH23" i="1"/>
  <c r="DG23" i="1"/>
  <c r="CX23" i="1"/>
  <c r="DB23" i="1" s="1"/>
  <c r="DF23" i="1" s="1"/>
  <c r="CW23" i="1"/>
  <c r="DA23" i="1" s="1"/>
  <c r="DE23" i="1" s="1"/>
  <c r="CR23" i="1"/>
  <c r="CT23" i="1" s="1"/>
  <c r="CQ23" i="1"/>
  <c r="CS23" i="1" s="1"/>
  <c r="CH23" i="1"/>
  <c r="CG23" i="1"/>
  <c r="BT23" i="1"/>
  <c r="BS23" i="1"/>
  <c r="BG23" i="1"/>
  <c r="BF23" i="1"/>
  <c r="AF23" i="1"/>
  <c r="AB23" i="1"/>
  <c r="W23" i="1"/>
  <c r="Y23" i="1" s="1"/>
  <c r="AE23" i="1" s="1"/>
  <c r="V23" i="1"/>
  <c r="Q23" i="1"/>
  <c r="M23" i="1"/>
  <c r="EY22" i="1"/>
  <c r="EW22" i="1"/>
  <c r="DG22" i="1" s="1"/>
  <c r="EL22" i="1"/>
  <c r="EK22" i="1"/>
  <c r="DT22" i="1"/>
  <c r="DS22" i="1"/>
  <c r="DH22" i="1"/>
  <c r="CX22" i="1"/>
  <c r="DB22" i="1" s="1"/>
  <c r="DF22" i="1" s="1"/>
  <c r="CW22" i="1"/>
  <c r="DA22" i="1" s="1"/>
  <c r="DE22" i="1" s="1"/>
  <c r="CS22" i="1"/>
  <c r="CR22" i="1"/>
  <c r="CT22" i="1" s="1"/>
  <c r="CQ22" i="1"/>
  <c r="CH22" i="1"/>
  <c r="CG22" i="1"/>
  <c r="BT22" i="1"/>
  <c r="BS22" i="1"/>
  <c r="BG22" i="1"/>
  <c r="BF22" i="1"/>
  <c r="AF22" i="1"/>
  <c r="AB22" i="1"/>
  <c r="W22" i="1"/>
  <c r="Y22" i="1" s="1"/>
  <c r="AE22" i="1" s="1"/>
  <c r="V22" i="1"/>
  <c r="Q22" i="1"/>
  <c r="M22" i="1"/>
  <c r="EL21" i="1"/>
  <c r="EK21" i="1"/>
  <c r="DT21" i="1"/>
  <c r="DS21" i="1"/>
  <c r="DH21" i="1"/>
  <c r="DG21" i="1"/>
  <c r="CX21" i="1"/>
  <c r="DB21" i="1" s="1"/>
  <c r="DF21" i="1" s="1"/>
  <c r="CW21" i="1"/>
  <c r="DA21" i="1" s="1"/>
  <c r="DE21" i="1" s="1"/>
  <c r="CR21" i="1"/>
  <c r="CT21" i="1" s="1"/>
  <c r="CQ21" i="1"/>
  <c r="CS21" i="1" s="1"/>
  <c r="CH21" i="1"/>
  <c r="CG21" i="1"/>
  <c r="BT21" i="1"/>
  <c r="BS21" i="1"/>
  <c r="BG21" i="1"/>
  <c r="BF21" i="1"/>
  <c r="AF21" i="1"/>
  <c r="AB21" i="1"/>
  <c r="Y21" i="1"/>
  <c r="AE21" i="1" s="1"/>
  <c r="W21" i="1"/>
  <c r="V21" i="1"/>
  <c r="Q21" i="1"/>
  <c r="M21" i="1"/>
  <c r="EL20" i="1"/>
  <c r="EK20" i="1"/>
  <c r="DT20" i="1"/>
  <c r="DS20" i="1"/>
  <c r="DH20" i="1"/>
  <c r="DG20" i="1"/>
  <c r="CX20" i="1"/>
  <c r="DB20" i="1" s="1"/>
  <c r="DF20" i="1" s="1"/>
  <c r="DJ20" i="1" s="1"/>
  <c r="DN20" i="1" s="1"/>
  <c r="DR20" i="1" s="1"/>
  <c r="DV20" i="1" s="1"/>
  <c r="DZ20" i="1" s="1"/>
  <c r="ED20" i="1" s="1"/>
  <c r="CW20" i="1"/>
  <c r="DA20" i="1" s="1"/>
  <c r="DE20" i="1" s="1"/>
  <c r="CR20" i="1"/>
  <c r="CT20" i="1" s="1"/>
  <c r="CQ20" i="1"/>
  <c r="CS20" i="1" s="1"/>
  <c r="CH20" i="1"/>
  <c r="CG20" i="1"/>
  <c r="BT20" i="1"/>
  <c r="BS20" i="1"/>
  <c r="BG20" i="1"/>
  <c r="BF20" i="1"/>
  <c r="AF20" i="1"/>
  <c r="AB20" i="1"/>
  <c r="W20" i="1"/>
  <c r="Y20" i="1" s="1"/>
  <c r="AE20" i="1" s="1"/>
  <c r="V20" i="1"/>
  <c r="Q20" i="1"/>
  <c r="M20" i="1"/>
  <c r="EY19" i="1"/>
  <c r="EW19" i="1"/>
  <c r="EL19" i="1"/>
  <c r="EK19" i="1"/>
  <c r="DT19" i="1"/>
  <c r="DS19" i="1"/>
  <c r="DH19" i="1"/>
  <c r="CX19" i="1"/>
  <c r="DB19" i="1" s="1"/>
  <c r="DF19" i="1" s="1"/>
  <c r="CU19" i="1"/>
  <c r="CR19" i="1"/>
  <c r="CT19" i="1" s="1"/>
  <c r="CQ19" i="1"/>
  <c r="CS19" i="1" s="1"/>
  <c r="CH19" i="1"/>
  <c r="CG19" i="1"/>
  <c r="BT19" i="1"/>
  <c r="BS19" i="1"/>
  <c r="BG19" i="1"/>
  <c r="BF19" i="1"/>
  <c r="AF19" i="1"/>
  <c r="AB19" i="1"/>
  <c r="W19" i="1"/>
  <c r="Y19" i="1" s="1"/>
  <c r="AE19" i="1" s="1"/>
  <c r="V19" i="1"/>
  <c r="Q19" i="1"/>
  <c r="R19" i="1" s="1"/>
  <c r="M19" i="1"/>
  <c r="EL18" i="1"/>
  <c r="EK18" i="1"/>
  <c r="DT18" i="1"/>
  <c r="DS18" i="1"/>
  <c r="DH18" i="1"/>
  <c r="DG18" i="1"/>
  <c r="CX18" i="1"/>
  <c r="DB18" i="1" s="1"/>
  <c r="DF18" i="1" s="1"/>
  <c r="CW18" i="1"/>
  <c r="DA18" i="1" s="1"/>
  <c r="DE18" i="1" s="1"/>
  <c r="CR18" i="1"/>
  <c r="CT18" i="1" s="1"/>
  <c r="CQ18" i="1"/>
  <c r="CS18" i="1" s="1"/>
  <c r="CH18" i="1"/>
  <c r="CG18" i="1"/>
  <c r="BT18" i="1"/>
  <c r="BS18" i="1"/>
  <c r="BG18" i="1"/>
  <c r="BF18" i="1"/>
  <c r="AF18" i="1"/>
  <c r="AB18" i="1"/>
  <c r="W18" i="1"/>
  <c r="Y18" i="1" s="1"/>
  <c r="AE18" i="1" s="1"/>
  <c r="V18" i="1"/>
  <c r="Q18" i="1"/>
  <c r="M18" i="1"/>
  <c r="EL17" i="1"/>
  <c r="EK17" i="1"/>
  <c r="DT17" i="1"/>
  <c r="DS17" i="1"/>
  <c r="DH17" i="1"/>
  <c r="DG17" i="1"/>
  <c r="CX17" i="1"/>
  <c r="CW17" i="1"/>
  <c r="DA17" i="1" s="1"/>
  <c r="CS17" i="1"/>
  <c r="CQ17" i="1"/>
  <c r="CL17" i="1"/>
  <c r="CR17" i="1" s="1"/>
  <c r="CH17" i="1"/>
  <c r="CG17" i="1"/>
  <c r="BT17" i="1"/>
  <c r="BS17" i="1"/>
  <c r="BG17" i="1"/>
  <c r="BF17" i="1"/>
  <c r="AF17" i="1"/>
  <c r="AB17" i="1"/>
  <c r="W17" i="1"/>
  <c r="Y17" i="1" s="1"/>
  <c r="V17" i="1"/>
  <c r="Q17" i="1"/>
  <c r="M17" i="1"/>
  <c r="EZ16" i="1"/>
  <c r="EY16" i="1"/>
  <c r="EX16" i="1"/>
  <c r="EW16" i="1"/>
  <c r="ES16" i="1"/>
  <c r="ER16" i="1"/>
  <c r="EQ16" i="1"/>
  <c r="EP16" i="1"/>
  <c r="EO16" i="1"/>
  <c r="EF16" i="1"/>
  <c r="EE16" i="1"/>
  <c r="EB16" i="1"/>
  <c r="EA16" i="1"/>
  <c r="DX16" i="1"/>
  <c r="DW16" i="1"/>
  <c r="DP16" i="1"/>
  <c r="DO16" i="1"/>
  <c r="DL16" i="1"/>
  <c r="DK16" i="1"/>
  <c r="DD16" i="1"/>
  <c r="DC16" i="1"/>
  <c r="CZ16" i="1"/>
  <c r="CY16" i="1"/>
  <c r="CV16" i="1"/>
  <c r="CU16" i="1"/>
  <c r="CP16" i="1"/>
  <c r="CO16" i="1"/>
  <c r="CN16" i="1"/>
  <c r="CM16" i="1"/>
  <c r="CJ16" i="1"/>
  <c r="CI16" i="1"/>
  <c r="CF16" i="1"/>
  <c r="CE16" i="1"/>
  <c r="CD16" i="1"/>
  <c r="CC16" i="1"/>
  <c r="CB16" i="1"/>
  <c r="CA16" i="1"/>
  <c r="BZ16" i="1"/>
  <c r="BY16" i="1"/>
  <c r="BX16" i="1"/>
  <c r="BW16" i="1"/>
  <c r="BU16" i="1"/>
  <c r="BP16" i="1"/>
  <c r="BO16" i="1"/>
  <c r="BK16" i="1"/>
  <c r="BJ16" i="1"/>
  <c r="BI16" i="1"/>
  <c r="BH16" i="1"/>
  <c r="BC16" i="1"/>
  <c r="BB16" i="1"/>
  <c r="AX16" i="1"/>
  <c r="AW16" i="1"/>
  <c r="AT16" i="1"/>
  <c r="AS16" i="1"/>
  <c r="AP16" i="1"/>
  <c r="AO16" i="1"/>
  <c r="AL16" i="1"/>
  <c r="AK16" i="1"/>
  <c r="AA16" i="1"/>
  <c r="Z16" i="1"/>
  <c r="U16" i="1"/>
  <c r="T16" i="1"/>
  <c r="S16" i="1"/>
  <c r="P16" i="1"/>
  <c r="O16" i="1"/>
  <c r="N16" i="1"/>
  <c r="L16" i="1"/>
  <c r="K16" i="1"/>
  <c r="J16" i="1"/>
  <c r="EL15" i="1"/>
  <c r="EK15" i="1"/>
  <c r="DT15" i="1"/>
  <c r="DS15" i="1"/>
  <c r="DH15" i="1"/>
  <c r="DG15" i="1"/>
  <c r="CX15" i="1"/>
  <c r="DB15" i="1" s="1"/>
  <c r="DF15" i="1" s="1"/>
  <c r="CW15" i="1"/>
  <c r="CR15" i="1"/>
  <c r="CT15" i="1" s="1"/>
  <c r="CK15" i="1"/>
  <c r="CK16" i="1" s="1"/>
  <c r="CH15" i="1"/>
  <c r="CG15" i="1"/>
  <c r="BT15" i="1"/>
  <c r="BS15" i="1"/>
  <c r="BG15" i="1"/>
  <c r="BF15" i="1"/>
  <c r="AF15" i="1"/>
  <c r="AB15" i="1"/>
  <c r="W15" i="1"/>
  <c r="V15" i="1"/>
  <c r="Q15" i="1"/>
  <c r="M15" i="1"/>
  <c r="EL14" i="1"/>
  <c r="EL16" i="1" s="1"/>
  <c r="EK14" i="1"/>
  <c r="DT14" i="1"/>
  <c r="DT16" i="1" s="1"/>
  <c r="DS14" i="1"/>
  <c r="DS16" i="1" s="1"/>
  <c r="DH14" i="1"/>
  <c r="DG14" i="1"/>
  <c r="CX14" i="1"/>
  <c r="CW14" i="1"/>
  <c r="CQ14" i="1"/>
  <c r="CL14" i="1"/>
  <c r="CH14" i="1"/>
  <c r="CG14" i="1"/>
  <c r="BT14" i="1"/>
  <c r="BS14" i="1"/>
  <c r="BG14" i="1"/>
  <c r="BF14" i="1"/>
  <c r="AF14" i="1"/>
  <c r="AB14" i="1"/>
  <c r="W14" i="1"/>
  <c r="Y14" i="1" s="1"/>
  <c r="V14" i="1"/>
  <c r="V16" i="1" s="1"/>
  <c r="Q14" i="1"/>
  <c r="M14" i="1"/>
  <c r="EZ13" i="1"/>
  <c r="EY13" i="1"/>
  <c r="EX13" i="1"/>
  <c r="EW13" i="1"/>
  <c r="ET13" i="1"/>
  <c r="ES13" i="1"/>
  <c r="EP13" i="1"/>
  <c r="EO13" i="1"/>
  <c r="EF13" i="1"/>
  <c r="EE13" i="1"/>
  <c r="EB13" i="1"/>
  <c r="EA13" i="1"/>
  <c r="DX13" i="1"/>
  <c r="DW13" i="1"/>
  <c r="DP13" i="1"/>
  <c r="DO13" i="1"/>
  <c r="DL13" i="1"/>
  <c r="DK13" i="1"/>
  <c r="DD13" i="1"/>
  <c r="DC13" i="1"/>
  <c r="CZ13" i="1"/>
  <c r="CY13" i="1"/>
  <c r="CV13" i="1"/>
  <c r="CU13" i="1"/>
  <c r="CP13" i="1"/>
  <c r="CO13" i="1"/>
  <c r="CN13" i="1"/>
  <c r="CM13" i="1"/>
  <c r="CJ13" i="1"/>
  <c r="CI13" i="1"/>
  <c r="CF13" i="1"/>
  <c r="CE13" i="1"/>
  <c r="CD13" i="1"/>
  <c r="CC13" i="1"/>
  <c r="CB13" i="1"/>
  <c r="CA13" i="1"/>
  <c r="BZ13" i="1"/>
  <c r="BY13" i="1"/>
  <c r="BX13" i="1"/>
  <c r="BP13" i="1"/>
  <c r="BO13" i="1"/>
  <c r="BK13" i="1"/>
  <c r="BJ13" i="1"/>
  <c r="BI13" i="1"/>
  <c r="BH13" i="1"/>
  <c r="BC13" i="1"/>
  <c r="BB13" i="1"/>
  <c r="AX13" i="1"/>
  <c r="AW13" i="1"/>
  <c r="AT13" i="1"/>
  <c r="AS13" i="1"/>
  <c r="AP13" i="1"/>
  <c r="AO13" i="1"/>
  <c r="AL13" i="1"/>
  <c r="AK13" i="1"/>
  <c r="AA13" i="1"/>
  <c r="Z13" i="1"/>
  <c r="U13" i="1"/>
  <c r="T13" i="1"/>
  <c r="S13" i="1"/>
  <c r="P13" i="1"/>
  <c r="O13" i="1"/>
  <c r="N13" i="1"/>
  <c r="L13" i="1"/>
  <c r="K13" i="1"/>
  <c r="J13" i="1"/>
  <c r="EL12" i="1"/>
  <c r="EK12" i="1"/>
  <c r="DT12" i="1"/>
  <c r="DS12" i="1"/>
  <c r="DH12" i="1"/>
  <c r="DG12" i="1"/>
  <c r="CX12" i="1"/>
  <c r="DB12" i="1" s="1"/>
  <c r="DF12" i="1" s="1"/>
  <c r="CW12" i="1"/>
  <c r="DA12" i="1" s="1"/>
  <c r="DE12" i="1" s="1"/>
  <c r="CR12" i="1"/>
  <c r="CT12" i="1" s="1"/>
  <c r="CQ12" i="1"/>
  <c r="CS12" i="1" s="1"/>
  <c r="CH12" i="1"/>
  <c r="CG12" i="1"/>
  <c r="BT12" i="1"/>
  <c r="BS12" i="1"/>
  <c r="BG12" i="1"/>
  <c r="BF12" i="1"/>
  <c r="AF12" i="1"/>
  <c r="AB12" i="1"/>
  <c r="W12" i="1"/>
  <c r="V12" i="1"/>
  <c r="Q12" i="1"/>
  <c r="M12" i="1"/>
  <c r="EL11" i="1"/>
  <c r="EK11" i="1"/>
  <c r="EK13" i="1" s="1"/>
  <c r="DT11" i="1"/>
  <c r="DS11" i="1"/>
  <c r="DH11" i="1"/>
  <c r="DG11" i="1"/>
  <c r="CX11" i="1"/>
  <c r="CX13" i="1" s="1"/>
  <c r="CW11" i="1"/>
  <c r="CL11" i="1"/>
  <c r="CK11" i="1"/>
  <c r="DA11" i="1" s="1"/>
  <c r="CH11" i="1"/>
  <c r="CG11" i="1"/>
  <c r="BW11" i="1"/>
  <c r="BW13" i="1" s="1"/>
  <c r="BT11" i="1"/>
  <c r="BS11" i="1"/>
  <c r="BG11" i="1"/>
  <c r="BF11" i="1"/>
  <c r="BF13" i="1" s="1"/>
  <c r="AF11" i="1"/>
  <c r="AB11" i="1"/>
  <c r="W11" i="1"/>
  <c r="Y11" i="1" s="1"/>
  <c r="V11" i="1"/>
  <c r="V13" i="1" s="1"/>
  <c r="Q11" i="1"/>
  <c r="M11" i="1"/>
  <c r="EZ10" i="1"/>
  <c r="EY10" i="1"/>
  <c r="EX10" i="1"/>
  <c r="EW10" i="1"/>
  <c r="ET10" i="1"/>
  <c r="ES10" i="1"/>
  <c r="EQ10" i="1"/>
  <c r="EP10" i="1"/>
  <c r="EO10" i="1"/>
  <c r="EF10" i="1"/>
  <c r="EE10" i="1"/>
  <c r="EB10" i="1"/>
  <c r="EA10" i="1"/>
  <c r="DX10" i="1"/>
  <c r="DW10" i="1"/>
  <c r="DP10" i="1"/>
  <c r="DO10" i="1"/>
  <c r="DL10" i="1"/>
  <c r="DK10" i="1"/>
  <c r="DD10" i="1"/>
  <c r="DC10" i="1"/>
  <c r="CZ10" i="1"/>
  <c r="CY10" i="1"/>
  <c r="CV10" i="1"/>
  <c r="CU10" i="1"/>
  <c r="CP10" i="1"/>
  <c r="CO10" i="1"/>
  <c r="CN10" i="1"/>
  <c r="CM10" i="1"/>
  <c r="CL10" i="1"/>
  <c r="CJ10" i="1"/>
  <c r="CI10" i="1"/>
  <c r="CF10" i="1"/>
  <c r="CE10" i="1"/>
  <c r="CD10" i="1"/>
  <c r="CC10" i="1"/>
  <c r="CB10" i="1"/>
  <c r="CA10" i="1"/>
  <c r="BZ10" i="1"/>
  <c r="BY10" i="1"/>
  <c r="BW10" i="1"/>
  <c r="BP10" i="1"/>
  <c r="BK10" i="1"/>
  <c r="BJ10" i="1"/>
  <c r="BI10" i="1"/>
  <c r="BH10" i="1"/>
  <c r="BC10" i="1"/>
  <c r="BB10" i="1"/>
  <c r="AX10" i="1"/>
  <c r="AW10" i="1"/>
  <c r="AT10" i="1"/>
  <c r="AS10" i="1"/>
  <c r="AP10" i="1"/>
  <c r="AO10" i="1"/>
  <c r="AL10" i="1"/>
  <c r="AK10" i="1"/>
  <c r="AA10" i="1"/>
  <c r="U10" i="1"/>
  <c r="T10" i="1"/>
  <c r="S10" i="1"/>
  <c r="P10" i="1"/>
  <c r="O10" i="1"/>
  <c r="N10" i="1"/>
  <c r="L10" i="1"/>
  <c r="K10" i="1"/>
  <c r="J10" i="1"/>
  <c r="EL9" i="1"/>
  <c r="EK9" i="1"/>
  <c r="DT9" i="1"/>
  <c r="DS9" i="1"/>
  <c r="DH9" i="1"/>
  <c r="DG9" i="1"/>
  <c r="CX9" i="1"/>
  <c r="DB9" i="1" s="1"/>
  <c r="DF9" i="1" s="1"/>
  <c r="CW9" i="1"/>
  <c r="DA9" i="1" s="1"/>
  <c r="DE9" i="1" s="1"/>
  <c r="CR9" i="1"/>
  <c r="CT9" i="1" s="1"/>
  <c r="CQ9" i="1"/>
  <c r="CS9" i="1" s="1"/>
  <c r="CH9" i="1"/>
  <c r="CG9" i="1"/>
  <c r="BT9" i="1"/>
  <c r="BO9" i="1"/>
  <c r="BG9" i="1"/>
  <c r="BF9" i="1"/>
  <c r="AF9" i="1"/>
  <c r="AB9" i="1"/>
  <c r="W9" i="1"/>
  <c r="Y9" i="1" s="1"/>
  <c r="AE9" i="1" s="1"/>
  <c r="V9" i="1"/>
  <c r="Q9" i="1"/>
  <c r="M9" i="1"/>
  <c r="EL8" i="1"/>
  <c r="EK8" i="1"/>
  <c r="EK10" i="1" s="1"/>
  <c r="DT8" i="1"/>
  <c r="DS8" i="1"/>
  <c r="DS10" i="1" s="1"/>
  <c r="DH8" i="1"/>
  <c r="DG8" i="1"/>
  <c r="CX8" i="1"/>
  <c r="DB8" i="1" s="1"/>
  <c r="CW8" i="1"/>
  <c r="CR8" i="1"/>
  <c r="CK8" i="1"/>
  <c r="CQ8" i="1" s="1"/>
  <c r="CH8" i="1"/>
  <c r="CG8" i="1"/>
  <c r="BX8" i="1"/>
  <c r="BX10" i="1" s="1"/>
  <c r="BT8" i="1"/>
  <c r="BS8" i="1"/>
  <c r="BG8" i="1"/>
  <c r="BG10" i="1" s="1"/>
  <c r="BF8" i="1"/>
  <c r="AF8" i="1"/>
  <c r="AF10" i="1" s="1"/>
  <c r="W8" i="1"/>
  <c r="V8" i="1"/>
  <c r="V10" i="1" s="1"/>
  <c r="R8" i="1"/>
  <c r="Q8" i="1"/>
  <c r="M8" i="1"/>
  <c r="EZ7" i="1"/>
  <c r="EY7" i="1"/>
  <c r="EX7" i="1"/>
  <c r="EW7" i="1"/>
  <c r="ET7" i="1"/>
  <c r="ES7" i="1"/>
  <c r="ER7" i="1"/>
  <c r="EQ7" i="1"/>
  <c r="EP7" i="1"/>
  <c r="EO7" i="1"/>
  <c r="EF7" i="1"/>
  <c r="EE7" i="1"/>
  <c r="EB7" i="1"/>
  <c r="EA7" i="1"/>
  <c r="DX7" i="1"/>
  <c r="DW7" i="1"/>
  <c r="DP7" i="1"/>
  <c r="DO7" i="1"/>
  <c r="DL7" i="1"/>
  <c r="DK7" i="1"/>
  <c r="DD7" i="1"/>
  <c r="DC7" i="1"/>
  <c r="CZ7" i="1"/>
  <c r="CY7" i="1"/>
  <c r="CV7" i="1"/>
  <c r="CU7" i="1"/>
  <c r="CP7" i="1"/>
  <c r="CO7" i="1"/>
  <c r="CN7" i="1"/>
  <c r="CM7" i="1"/>
  <c r="CJ7" i="1"/>
  <c r="CI7" i="1"/>
  <c r="CF7" i="1"/>
  <c r="CE7" i="1"/>
  <c r="CD7" i="1"/>
  <c r="CC7" i="1"/>
  <c r="CB7" i="1"/>
  <c r="CA7" i="1"/>
  <c r="BZ7" i="1"/>
  <c r="BY7" i="1"/>
  <c r="BX7" i="1"/>
  <c r="BW7" i="1"/>
  <c r="BP7" i="1"/>
  <c r="BO7" i="1"/>
  <c r="BK7" i="1"/>
  <c r="BJ7" i="1"/>
  <c r="BI7" i="1"/>
  <c r="BH7" i="1"/>
  <c r="BC7" i="1"/>
  <c r="BB7" i="1"/>
  <c r="AX7" i="1"/>
  <c r="AW7" i="1"/>
  <c r="AT7" i="1"/>
  <c r="AS7" i="1"/>
  <c r="AP7" i="1"/>
  <c r="AO7" i="1"/>
  <c r="AL7" i="1"/>
  <c r="AK7" i="1"/>
  <c r="AA7" i="1"/>
  <c r="U7" i="1"/>
  <c r="T7" i="1"/>
  <c r="S7" i="1"/>
  <c r="P7" i="1"/>
  <c r="O7" i="1"/>
  <c r="N7" i="1"/>
  <c r="L7" i="1"/>
  <c r="K7" i="1"/>
  <c r="J7" i="1"/>
  <c r="EL6" i="1"/>
  <c r="EK6" i="1"/>
  <c r="DT6" i="1"/>
  <c r="DS6" i="1"/>
  <c r="DH6" i="1"/>
  <c r="DG6" i="1"/>
  <c r="CX6" i="1"/>
  <c r="CX7" i="1" s="1"/>
  <c r="CW6" i="1"/>
  <c r="DA6" i="1" s="1"/>
  <c r="DE6" i="1" s="1"/>
  <c r="DI6" i="1" s="1"/>
  <c r="DM6" i="1" s="1"/>
  <c r="DQ6" i="1" s="1"/>
  <c r="DU6" i="1" s="1"/>
  <c r="DY6" i="1" s="1"/>
  <c r="EC6" i="1" s="1"/>
  <c r="CR6" i="1"/>
  <c r="CT6" i="1" s="1"/>
  <c r="CQ6" i="1"/>
  <c r="CS6" i="1" s="1"/>
  <c r="CH6" i="1"/>
  <c r="CG6" i="1"/>
  <c r="BT6" i="1"/>
  <c r="BS6" i="1"/>
  <c r="BG6" i="1"/>
  <c r="BF6" i="1"/>
  <c r="AF6" i="1"/>
  <c r="W6" i="1"/>
  <c r="Y6" i="1" s="1"/>
  <c r="AE6" i="1" s="1"/>
  <c r="V6" i="1"/>
  <c r="Q6" i="1"/>
  <c r="M6" i="1"/>
  <c r="EL5" i="1"/>
  <c r="EK5" i="1"/>
  <c r="EK7" i="1" s="1"/>
  <c r="DT5" i="1"/>
  <c r="DS5" i="1"/>
  <c r="DH5" i="1"/>
  <c r="DG5" i="1"/>
  <c r="CX5" i="1"/>
  <c r="CW5" i="1"/>
  <c r="CL5" i="1"/>
  <c r="CL7" i="1" s="1"/>
  <c r="CK5" i="1"/>
  <c r="CK7" i="1" s="1"/>
  <c r="CH5" i="1"/>
  <c r="CG5" i="1"/>
  <c r="CG7" i="1" s="1"/>
  <c r="BT5" i="1"/>
  <c r="BS5" i="1"/>
  <c r="BS7" i="1" s="1"/>
  <c r="BG5" i="1"/>
  <c r="BF5" i="1"/>
  <c r="AF5" i="1"/>
  <c r="W5" i="1"/>
  <c r="Y5" i="1" s="1"/>
  <c r="AE5" i="1" s="1"/>
  <c r="V5" i="1"/>
  <c r="Q5" i="1"/>
  <c r="Q7" i="1" s="1"/>
  <c r="M5" i="1"/>
  <c r="EK2" i="1"/>
  <c r="CR2" i="1"/>
  <c r="BU2" i="1"/>
  <c r="BM2" i="1"/>
  <c r="BK2" i="1"/>
  <c r="BJ2" i="1"/>
  <c r="BI2" i="1"/>
  <c r="V62" i="1" l="1"/>
  <c r="R118" i="1"/>
  <c r="AV189" i="1"/>
  <c r="AB265" i="1"/>
  <c r="DI270" i="1"/>
  <c r="DM270" i="1" s="1"/>
  <c r="DQ270" i="1" s="1"/>
  <c r="AB308" i="1"/>
  <c r="X96" i="1"/>
  <c r="R136" i="1"/>
  <c r="X136" i="1" s="1"/>
  <c r="AD136" i="1" s="1"/>
  <c r="CL235" i="1"/>
  <c r="BF10" i="1"/>
  <c r="AF13" i="1"/>
  <c r="BF16" i="1"/>
  <c r="AB98" i="1"/>
  <c r="CU100" i="1"/>
  <c r="CW100" i="1" s="1"/>
  <c r="DA100" i="1" s="1"/>
  <c r="DE100" i="1" s="1"/>
  <c r="BT160" i="1"/>
  <c r="AB256" i="1"/>
  <c r="R259" i="1"/>
  <c r="AQ283" i="1"/>
  <c r="AQ309" i="1"/>
  <c r="EL24" i="1"/>
  <c r="EL26" i="1" s="1"/>
  <c r="DJ18" i="1"/>
  <c r="DN18" i="1" s="1"/>
  <c r="DR18" i="1" s="1"/>
  <c r="DV18" i="1" s="1"/>
  <c r="DZ18" i="1" s="1"/>
  <c r="R20" i="1"/>
  <c r="X20" i="1" s="1"/>
  <c r="AD20" i="1" s="1"/>
  <c r="DH36" i="1"/>
  <c r="DT43" i="1"/>
  <c r="CT91" i="1"/>
  <c r="CT93" i="1" s="1"/>
  <c r="CS186" i="1"/>
  <c r="CS187" i="1" s="1"/>
  <c r="CL213" i="1"/>
  <c r="AI288" i="1"/>
  <c r="R292" i="1"/>
  <c r="X292" i="1" s="1"/>
  <c r="AD292" i="1" s="1"/>
  <c r="EK43" i="1"/>
  <c r="CH59" i="1"/>
  <c r="BF59" i="1"/>
  <c r="CH62" i="1"/>
  <c r="X66" i="1"/>
  <c r="DT85" i="1"/>
  <c r="R175" i="1"/>
  <c r="R178" i="1"/>
  <c r="R270" i="1"/>
  <c r="X270" i="1" s="1"/>
  <c r="AD270" i="1" s="1"/>
  <c r="X287" i="1"/>
  <c r="CV211" i="1"/>
  <c r="V269" i="1"/>
  <c r="DT288" i="1"/>
  <c r="AR282" i="1"/>
  <c r="CT297" i="1"/>
  <c r="AY47" i="1"/>
  <c r="DS56" i="1"/>
  <c r="DT68" i="1"/>
  <c r="R87" i="1"/>
  <c r="X87" i="1" s="1"/>
  <c r="AD87" i="1" s="1"/>
  <c r="BF238" i="1"/>
  <c r="CG260" i="1"/>
  <c r="CR76" i="1"/>
  <c r="CR79" i="1" s="1"/>
  <c r="ED119" i="1"/>
  <c r="EJ119" i="1" s="1"/>
  <c r="EN119" i="1" s="1"/>
  <c r="CS123" i="1"/>
  <c r="CS125" i="1" s="1"/>
  <c r="EK195" i="1"/>
  <c r="R211" i="1"/>
  <c r="EO262" i="1"/>
  <c r="BS265" i="1"/>
  <c r="DJ268" i="1"/>
  <c r="DN268" i="1" s="1"/>
  <c r="DR268" i="1" s="1"/>
  <c r="DJ35" i="1"/>
  <c r="DN35" i="1" s="1"/>
  <c r="DR35" i="1" s="1"/>
  <c r="CG75" i="1"/>
  <c r="CH221" i="1"/>
  <c r="AF221" i="1"/>
  <c r="DJ229" i="1"/>
  <c r="DN229" i="1" s="1"/>
  <c r="DR229" i="1" s="1"/>
  <c r="BT253" i="1"/>
  <c r="CG52" i="1"/>
  <c r="AF56" i="1"/>
  <c r="CR134" i="1"/>
  <c r="DT142" i="1"/>
  <c r="AF235" i="1"/>
  <c r="R67" i="1"/>
  <c r="X67" i="1" s="1"/>
  <c r="AD67" i="1" s="1"/>
  <c r="EK68" i="1"/>
  <c r="R81" i="1"/>
  <c r="X81" i="1" s="1"/>
  <c r="AD81" i="1" s="1"/>
  <c r="DS113" i="1"/>
  <c r="BG156" i="1"/>
  <c r="R193" i="1"/>
  <c r="R261" i="1"/>
  <c r="BG269" i="1"/>
  <c r="DU279" i="1"/>
  <c r="DY279" i="1" s="1"/>
  <c r="EC279" i="1" s="1"/>
  <c r="R301" i="1"/>
  <c r="X301" i="1" s="1"/>
  <c r="AD301" i="1" s="1"/>
  <c r="DA8" i="1"/>
  <c r="DE8" i="1" s="1"/>
  <c r="DI8" i="1" s="1"/>
  <c r="DM8" i="1" s="1"/>
  <c r="DJ19" i="1"/>
  <c r="DN19" i="1" s="1"/>
  <c r="DR19" i="1" s="1"/>
  <c r="AQ25" i="1"/>
  <c r="DV92" i="1"/>
  <c r="DZ92" i="1" s="1"/>
  <c r="CV129" i="1"/>
  <c r="V160" i="1"/>
  <c r="EL164" i="1"/>
  <c r="CG256" i="1"/>
  <c r="EZ262" i="1"/>
  <c r="DV279" i="1"/>
  <c r="DZ279" i="1" s="1"/>
  <c r="ED279" i="1" s="1"/>
  <c r="R14" i="1"/>
  <c r="EK33" i="1"/>
  <c r="CW75" i="1"/>
  <c r="DI74" i="1"/>
  <c r="DM74" i="1" s="1"/>
  <c r="DQ74" i="1" s="1"/>
  <c r="R88" i="1"/>
  <c r="M110" i="1"/>
  <c r="V122" i="1"/>
  <c r="M142" i="1"/>
  <c r="CV151" i="1"/>
  <c r="AN158" i="1"/>
  <c r="W160" i="1"/>
  <c r="AL185" i="1"/>
  <c r="BS191" i="1"/>
  <c r="AR275" i="1"/>
  <c r="CR71" i="1"/>
  <c r="CH101" i="1"/>
  <c r="BG174" i="1"/>
  <c r="DB224" i="1"/>
  <c r="EK228" i="1"/>
  <c r="X230" i="1"/>
  <c r="AD230" i="1" s="1"/>
  <c r="AU230" i="1" s="1"/>
  <c r="CU249" i="1"/>
  <c r="DI273" i="1"/>
  <c r="DM273" i="1" s="1"/>
  <c r="DQ273" i="1" s="1"/>
  <c r="DU273" i="1" s="1"/>
  <c r="DY273" i="1" s="1"/>
  <c r="EC273" i="1" s="1"/>
  <c r="AQ278" i="1"/>
  <c r="AY278" i="1" s="1"/>
  <c r="AB286" i="1"/>
  <c r="AC286" i="1" s="1"/>
  <c r="DA302" i="1"/>
  <c r="DE302" i="1" s="1"/>
  <c r="CK10" i="1"/>
  <c r="R47" i="1"/>
  <c r="X47" i="1" s="1"/>
  <c r="AB113" i="1"/>
  <c r="X190" i="1"/>
  <c r="AD190" i="1" s="1"/>
  <c r="CT113" i="1"/>
  <c r="CH16" i="1"/>
  <c r="CG39" i="1"/>
  <c r="DG52" i="1"/>
  <c r="EK59" i="1"/>
  <c r="Q62" i="1"/>
  <c r="DB60" i="1"/>
  <c r="EK65" i="1"/>
  <c r="BF79" i="1"/>
  <c r="EL79" i="1"/>
  <c r="DJ77" i="1"/>
  <c r="DN77" i="1" s="1"/>
  <c r="DR77" i="1" s="1"/>
  <c r="DV77" i="1" s="1"/>
  <c r="DZ77" i="1" s="1"/>
  <c r="ED77" i="1" s="1"/>
  <c r="CH82" i="1"/>
  <c r="BG85" i="1"/>
  <c r="BA84" i="1"/>
  <c r="V93" i="1"/>
  <c r="DI124" i="1"/>
  <c r="DM124" i="1" s="1"/>
  <c r="DQ124" i="1" s="1"/>
  <c r="DU124" i="1" s="1"/>
  <c r="DY124" i="1" s="1"/>
  <c r="EC124" i="1" s="1"/>
  <c r="CH139" i="1"/>
  <c r="BF139" i="1"/>
  <c r="BF146" i="1"/>
  <c r="CS162" i="1"/>
  <c r="BG168" i="1"/>
  <c r="EL168" i="1"/>
  <c r="CG174" i="1"/>
  <c r="DA179" i="1"/>
  <c r="AN189" i="1"/>
  <c r="DG195" i="1"/>
  <c r="M205" i="1"/>
  <c r="V228" i="1"/>
  <c r="DI229" i="1"/>
  <c r="DM229" i="1" s="1"/>
  <c r="DQ229" i="1" s="1"/>
  <c r="DU229" i="1" s="1"/>
  <c r="DY229" i="1" s="1"/>
  <c r="EC229" i="1" s="1"/>
  <c r="M269" i="1"/>
  <c r="DI277" i="1"/>
  <c r="DM277" i="1" s="1"/>
  <c r="DQ277" i="1" s="1"/>
  <c r="DU277" i="1" s="1"/>
  <c r="DY277" i="1" s="1"/>
  <c r="EC277" i="1" s="1"/>
  <c r="AJ288" i="1"/>
  <c r="AN299" i="1"/>
  <c r="AR299" i="1" s="1"/>
  <c r="CR10" i="1"/>
  <c r="CH13" i="1"/>
  <c r="EL13" i="1"/>
  <c r="DG19" i="1"/>
  <c r="DJ25" i="1"/>
  <c r="DN25" i="1" s="1"/>
  <c r="DR25" i="1" s="1"/>
  <c r="DV25" i="1" s="1"/>
  <c r="DZ25" i="1" s="1"/>
  <c r="ED25" i="1" s="1"/>
  <c r="AF29" i="1"/>
  <c r="DT29" i="1"/>
  <c r="CG33" i="1"/>
  <c r="BU36" i="1"/>
  <c r="DT39" i="1"/>
  <c r="DH52" i="1"/>
  <c r="EL59" i="1"/>
  <c r="DH62" i="1"/>
  <c r="V65" i="1"/>
  <c r="BF75" i="1"/>
  <c r="BV84" i="1"/>
  <c r="Y96" i="1"/>
  <c r="Y98" i="1" s="1"/>
  <c r="R97" i="1"/>
  <c r="X97" i="1" s="1"/>
  <c r="AD97" i="1" s="1"/>
  <c r="AC97" i="1" s="1"/>
  <c r="DV124" i="1"/>
  <c r="DZ124" i="1" s="1"/>
  <c r="ED124" i="1" s="1"/>
  <c r="AB125" i="1"/>
  <c r="EL146" i="1"/>
  <c r="DS160" i="1"/>
  <c r="DF164" i="1"/>
  <c r="R167" i="1"/>
  <c r="X167" i="1" s="1"/>
  <c r="AD167" i="1" s="1"/>
  <c r="DI170" i="1"/>
  <c r="DM170" i="1" s="1"/>
  <c r="DQ170" i="1" s="1"/>
  <c r="DU170" i="1" s="1"/>
  <c r="DY170" i="1" s="1"/>
  <c r="EC170" i="1" s="1"/>
  <c r="CH174" i="1"/>
  <c r="BT184" i="1"/>
  <c r="X182" i="1"/>
  <c r="AD182" i="1" s="1"/>
  <c r="DH195" i="1"/>
  <c r="R197" i="1"/>
  <c r="X197" i="1" s="1"/>
  <c r="AD197" i="1" s="1"/>
  <c r="AB205" i="1"/>
  <c r="R219" i="1"/>
  <c r="X219" i="1" s="1"/>
  <c r="AD219" i="1" s="1"/>
  <c r="AU219" i="1" s="1"/>
  <c r="DT235" i="1"/>
  <c r="AT240" i="1"/>
  <c r="CA240" i="1"/>
  <c r="CH256" i="1"/>
  <c r="CU257" i="1"/>
  <c r="BT265" i="1"/>
  <c r="CG269" i="1"/>
  <c r="CW7" i="1"/>
  <c r="CT8" i="1"/>
  <c r="CT10" i="1" s="1"/>
  <c r="BF29" i="1"/>
  <c r="EK29" i="1"/>
  <c r="DI28" i="1"/>
  <c r="DM28" i="1" s="1"/>
  <c r="CG36" i="1"/>
  <c r="CR46" i="1"/>
  <c r="CT46" i="1" s="1"/>
  <c r="CT49" i="1" s="1"/>
  <c r="W52" i="1"/>
  <c r="DS52" i="1"/>
  <c r="CH56" i="1"/>
  <c r="AF59" i="1"/>
  <c r="W62" i="1"/>
  <c r="BF71" i="1"/>
  <c r="BG75" i="1"/>
  <c r="DJ73" i="1"/>
  <c r="DN73" i="1" s="1"/>
  <c r="DR73" i="1" s="1"/>
  <c r="BT85" i="1"/>
  <c r="BE84" i="1"/>
  <c r="AB101" i="1"/>
  <c r="CL101" i="1"/>
  <c r="M113" i="1"/>
  <c r="BG113" i="1"/>
  <c r="CR142" i="1"/>
  <c r="DS205" i="1"/>
  <c r="EK205" i="1"/>
  <c r="CV206" i="1"/>
  <c r="CX206" i="1" s="1"/>
  <c r="DB206" i="1" s="1"/>
  <c r="DF206" i="1" s="1"/>
  <c r="BT209" i="1"/>
  <c r="BF213" i="1"/>
  <c r="EK213" i="1"/>
  <c r="DX262" i="1"/>
  <c r="CW16" i="1"/>
  <c r="DJ21" i="1"/>
  <c r="DN21" i="1" s="1"/>
  <c r="DR21" i="1" s="1"/>
  <c r="DV21" i="1" s="1"/>
  <c r="DZ21" i="1" s="1"/>
  <c r="ED21" i="1" s="1"/>
  <c r="DI23" i="1"/>
  <c r="DM23" i="1" s="1"/>
  <c r="DQ23" i="1" s="1"/>
  <c r="DU23" i="1" s="1"/>
  <c r="DY23" i="1" s="1"/>
  <c r="EC23" i="1" s="1"/>
  <c r="EL29" i="1"/>
  <c r="BF39" i="1"/>
  <c r="BV47" i="1"/>
  <c r="CQ56" i="1"/>
  <c r="BF56" i="1"/>
  <c r="DT62" i="1"/>
  <c r="BF68" i="1"/>
  <c r="EL68" i="1"/>
  <c r="CW82" i="1"/>
  <c r="CG85" i="1"/>
  <c r="BT125" i="1"/>
  <c r="CD185" i="1"/>
  <c r="CR147" i="1"/>
  <c r="AN155" i="1"/>
  <c r="DS164" i="1"/>
  <c r="CG168" i="1"/>
  <c r="DS179" i="1"/>
  <c r="R186" i="1"/>
  <c r="R187" i="1" s="1"/>
  <c r="AF195" i="1"/>
  <c r="BG213" i="1"/>
  <c r="EL213" i="1"/>
  <c r="DS217" i="1"/>
  <c r="V235" i="1"/>
  <c r="EL235" i="1"/>
  <c r="DS248" i="1"/>
  <c r="AT262" i="1"/>
  <c r="R257" i="1"/>
  <c r="BS288" i="1"/>
  <c r="CR286" i="1"/>
  <c r="CR288" i="1" s="1"/>
  <c r="DG7" i="1"/>
  <c r="CH7" i="1"/>
  <c r="Q10" i="1"/>
  <c r="X19" i="1"/>
  <c r="AD19" i="1" s="1"/>
  <c r="EY24" i="1"/>
  <c r="EY26" i="1" s="1"/>
  <c r="EY89" i="1" s="1"/>
  <c r="DJ23" i="1"/>
  <c r="DN23" i="1" s="1"/>
  <c r="DR23" i="1" s="1"/>
  <c r="DV23" i="1" s="1"/>
  <c r="DZ23" i="1" s="1"/>
  <c r="ED23" i="1" s="1"/>
  <c r="AB26" i="1"/>
  <c r="BS29" i="1"/>
  <c r="DO33" i="1"/>
  <c r="EK52" i="1"/>
  <c r="R58" i="1"/>
  <c r="EK62" i="1"/>
  <c r="AF65" i="1"/>
  <c r="M68" i="1"/>
  <c r="BS71" i="1"/>
  <c r="CG79" i="1"/>
  <c r="DI78" i="1"/>
  <c r="DM78" i="1" s="1"/>
  <c r="DQ78" i="1" s="1"/>
  <c r="M82" i="1"/>
  <c r="BF93" i="1"/>
  <c r="M107" i="1"/>
  <c r="DT107" i="1"/>
  <c r="DH110" i="1"/>
  <c r="Q117" i="1"/>
  <c r="X119" i="1"/>
  <c r="AD119" i="1" s="1"/>
  <c r="CG125" i="1"/>
  <c r="CG139" i="1"/>
  <c r="CG146" i="1"/>
  <c r="M156" i="1"/>
  <c r="AV155" i="1"/>
  <c r="CH168" i="1"/>
  <c r="AN190" i="1"/>
  <c r="AB213" i="1"/>
  <c r="DT217" i="1"/>
  <c r="W217" i="1"/>
  <c r="DS228" i="1"/>
  <c r="BG238" i="1"/>
  <c r="BG248" i="1"/>
  <c r="AB269" i="1"/>
  <c r="DA301" i="1"/>
  <c r="DE301" i="1" s="1"/>
  <c r="M13" i="1"/>
  <c r="BT29" i="1"/>
  <c r="DS49" i="1"/>
  <c r="EL52" i="1"/>
  <c r="CQ59" i="1"/>
  <c r="BF65" i="1"/>
  <c r="BS68" i="1"/>
  <c r="W104" i="1"/>
  <c r="DI103" i="1"/>
  <c r="DM103" i="1" s="1"/>
  <c r="DQ103" i="1" s="1"/>
  <c r="DU103" i="1" s="1"/>
  <c r="DY103" i="1" s="1"/>
  <c r="EC103" i="1" s="1"/>
  <c r="DH117" i="1"/>
  <c r="BT122" i="1"/>
  <c r="DA127" i="1"/>
  <c r="DE127" i="1" s="1"/>
  <c r="FB185" i="1"/>
  <c r="DU175" i="1"/>
  <c r="DY175" i="1" s="1"/>
  <c r="EC175" i="1" s="1"/>
  <c r="EI175" i="1" s="1"/>
  <c r="EM175" i="1" s="1"/>
  <c r="EL195" i="1"/>
  <c r="CE240" i="1"/>
  <c r="EL260" i="1"/>
  <c r="DV268" i="1"/>
  <c r="DZ268" i="1" s="1"/>
  <c r="ED268" i="1" s="1"/>
  <c r="Z288" i="1"/>
  <c r="DH16" i="1"/>
  <c r="R23" i="1"/>
  <c r="X23" i="1" s="1"/>
  <c r="AD23" i="1" s="1"/>
  <c r="CX33" i="1"/>
  <c r="V49" i="1"/>
  <c r="BG52" i="1"/>
  <c r="AB52" i="1"/>
  <c r="M56" i="1"/>
  <c r="BT59" i="1"/>
  <c r="AB62" i="1"/>
  <c r="CH75" i="1"/>
  <c r="BA73" i="1"/>
  <c r="DH82" i="1"/>
  <c r="R103" i="1"/>
  <c r="X103" i="1" s="1"/>
  <c r="AD103" i="1" s="1"/>
  <c r="AB104" i="1"/>
  <c r="DU119" i="1"/>
  <c r="DY119" i="1" s="1"/>
  <c r="EC119" i="1" s="1"/>
  <c r="R132" i="1"/>
  <c r="DI157" i="1"/>
  <c r="DM157" i="1" s="1"/>
  <c r="DQ157" i="1" s="1"/>
  <c r="DU157" i="1" s="1"/>
  <c r="DY157" i="1" s="1"/>
  <c r="EC157" i="1" s="1"/>
  <c r="DJ163" i="1"/>
  <c r="DN163" i="1" s="1"/>
  <c r="DR163" i="1" s="1"/>
  <c r="EL179" i="1"/>
  <c r="Q179" i="1"/>
  <c r="V191" i="1"/>
  <c r="M195" i="1"/>
  <c r="DF195" i="1"/>
  <c r="AB195" i="1"/>
  <c r="R254" i="1"/>
  <c r="X254" i="1" s="1"/>
  <c r="W256" i="1"/>
  <c r="CV263" i="1"/>
  <c r="CX263" i="1" s="1"/>
  <c r="CX265" i="1" s="1"/>
  <c r="AR276" i="1"/>
  <c r="CG288" i="1"/>
  <c r="V288" i="1"/>
  <c r="DT7" i="1"/>
  <c r="DS28" i="1"/>
  <c r="DS29" i="1" s="1"/>
  <c r="Q33" i="1"/>
  <c r="R32" i="1"/>
  <c r="X32" i="1" s="1"/>
  <c r="BT65" i="1"/>
  <c r="BE73" i="1"/>
  <c r="R90" i="1"/>
  <c r="X90" i="1" s="1"/>
  <c r="AD90" i="1" s="1"/>
  <c r="BG98" i="1"/>
  <c r="BF104" i="1"/>
  <c r="R106" i="1"/>
  <c r="X106" i="1" s="1"/>
  <c r="AD106" i="1" s="1"/>
  <c r="AI106" i="1" s="1"/>
  <c r="EL110" i="1"/>
  <c r="DV127" i="1"/>
  <c r="DZ127" i="1" s="1"/>
  <c r="ED127" i="1" s="1"/>
  <c r="EH127" i="1" s="1"/>
  <c r="DS134" i="1"/>
  <c r="EK139" i="1"/>
  <c r="R153" i="1"/>
  <c r="X153" i="1" s="1"/>
  <c r="AD153" i="1" s="1"/>
  <c r="V174" i="1"/>
  <c r="EK191" i="1"/>
  <c r="CQ191" i="1"/>
  <c r="R216" i="1"/>
  <c r="X216" i="1" s="1"/>
  <c r="AD216" i="1" s="1"/>
  <c r="AR224" i="1"/>
  <c r="AR225" i="1" s="1"/>
  <c r="DG43" i="1"/>
  <c r="CH93" i="1"/>
  <c r="AF107" i="1"/>
  <c r="R109" i="1"/>
  <c r="X109" i="1" s="1"/>
  <c r="AD109" i="1" s="1"/>
  <c r="AI109" i="1" s="1"/>
  <c r="R127" i="1"/>
  <c r="X127" i="1" s="1"/>
  <c r="AD127" i="1" s="1"/>
  <c r="AI127" i="1" s="1"/>
  <c r="DJ145" i="1"/>
  <c r="DN145" i="1" s="1"/>
  <c r="DR145" i="1" s="1"/>
  <c r="BG160" i="1"/>
  <c r="R169" i="1"/>
  <c r="X169" i="1" s="1"/>
  <c r="AD169" i="1" s="1"/>
  <c r="AM169" i="1" s="1"/>
  <c r="DB178" i="1"/>
  <c r="DF178" i="1" s="1"/>
  <c r="CX198" i="1"/>
  <c r="DB198" i="1" s="1"/>
  <c r="DF198" i="1" s="1"/>
  <c r="V209" i="1"/>
  <c r="DA218" i="1"/>
  <c r="DE218" i="1" s="1"/>
  <c r="DI218" i="1" s="1"/>
  <c r="CG228" i="1"/>
  <c r="DB232" i="1"/>
  <c r="DF232" i="1" s="1"/>
  <c r="DJ232" i="1" s="1"/>
  <c r="DN232" i="1" s="1"/>
  <c r="BJ240" i="1"/>
  <c r="EY262" i="1"/>
  <c r="AB248" i="1"/>
  <c r="BF260" i="1"/>
  <c r="BT269" i="1"/>
  <c r="Q288" i="1"/>
  <c r="DI284" i="1"/>
  <c r="DM284" i="1" s="1"/>
  <c r="DQ284" i="1" s="1"/>
  <c r="DU284" i="1" s="1"/>
  <c r="DY284" i="1" s="1"/>
  <c r="EC284" i="1" s="1"/>
  <c r="DI12" i="1"/>
  <c r="DM12" i="1" s="1"/>
  <c r="DQ12" i="1" s="1"/>
  <c r="DU12" i="1" s="1"/>
  <c r="DY12" i="1" s="1"/>
  <c r="DJ15" i="1"/>
  <c r="DN15" i="1" s="1"/>
  <c r="DR15" i="1" s="1"/>
  <c r="DV15" i="1" s="1"/>
  <c r="DZ15" i="1" s="1"/>
  <c r="ED15" i="1" s="1"/>
  <c r="Q39" i="1"/>
  <c r="CT37" i="1"/>
  <c r="CT39" i="1" s="1"/>
  <c r="V43" i="1"/>
  <c r="CH52" i="1"/>
  <c r="DV53" i="1"/>
  <c r="DZ53" i="1" s="1"/>
  <c r="CT69" i="1"/>
  <c r="CT71" i="1" s="1"/>
  <c r="CX75" i="1"/>
  <c r="M79" i="1"/>
  <c r="DI87" i="1"/>
  <c r="DM87" i="1" s="1"/>
  <c r="DQ87" i="1" s="1"/>
  <c r="CS93" i="1"/>
  <c r="DU114" i="1"/>
  <c r="DY114" i="1" s="1"/>
  <c r="EC114" i="1" s="1"/>
  <c r="BS164" i="1"/>
  <c r="CX164" i="1"/>
  <c r="Q168" i="1"/>
  <c r="AB179" i="1"/>
  <c r="V184" i="1"/>
  <c r="BF191" i="1"/>
  <c r="CH195" i="1"/>
  <c r="CQ210" i="1"/>
  <c r="V221" i="1"/>
  <c r="BS235" i="1"/>
  <c r="AB238" i="1"/>
  <c r="BK240" i="1"/>
  <c r="X259" i="1"/>
  <c r="AD259" i="1" s="1"/>
  <c r="DV282" i="1"/>
  <c r="DZ282" i="1" s="1"/>
  <c r="ED282" i="1" s="1"/>
  <c r="AY283" i="1"/>
  <c r="DU287" i="1"/>
  <c r="DY287" i="1" s="1"/>
  <c r="EC287" i="1" s="1"/>
  <c r="R6" i="1"/>
  <c r="AB33" i="1"/>
  <c r="V39" i="1"/>
  <c r="R74" i="1"/>
  <c r="X74" i="1" s="1"/>
  <c r="DG79" i="1"/>
  <c r="X112" i="1"/>
  <c r="AD112" i="1" s="1"/>
  <c r="AM112" i="1" s="1"/>
  <c r="AB142" i="1"/>
  <c r="AT185" i="1"/>
  <c r="BG191" i="1"/>
  <c r="X189" i="1"/>
  <c r="AD189" i="1" s="1"/>
  <c r="AI189" i="1" s="1"/>
  <c r="CH205" i="1"/>
  <c r="AF256" i="1"/>
  <c r="CH269" i="1"/>
  <c r="CH271" i="1" s="1"/>
  <c r="V79" i="1"/>
  <c r="R84" i="1"/>
  <c r="X84" i="1" s="1"/>
  <c r="V139" i="1"/>
  <c r="BG217" i="1"/>
  <c r="AR281" i="1"/>
  <c r="AZ281" i="1" s="1"/>
  <c r="BE48" i="1"/>
  <c r="V75" i="1"/>
  <c r="AB75" i="1"/>
  <c r="W79" i="1"/>
  <c r="DS79" i="1"/>
  <c r="AB82" i="1"/>
  <c r="CW93" i="1"/>
  <c r="DS98" i="1"/>
  <c r="R114" i="1"/>
  <c r="DJ116" i="1"/>
  <c r="DN116" i="1" s="1"/>
  <c r="DR116" i="1" s="1"/>
  <c r="DV116" i="1" s="1"/>
  <c r="DZ116" i="1" s="1"/>
  <c r="ED116" i="1" s="1"/>
  <c r="EL122" i="1"/>
  <c r="DI136" i="1"/>
  <c r="DM136" i="1" s="1"/>
  <c r="DQ136" i="1" s="1"/>
  <c r="DU136" i="1" s="1"/>
  <c r="DY136" i="1" s="1"/>
  <c r="EC136" i="1" s="1"/>
  <c r="BS139" i="1"/>
  <c r="R149" i="1"/>
  <c r="X149" i="1" s="1"/>
  <c r="AD149" i="1" s="1"/>
  <c r="CH160" i="1"/>
  <c r="X173" i="1"/>
  <c r="AD173" i="1" s="1"/>
  <c r="AF184" i="1"/>
  <c r="DT184" i="1"/>
  <c r="BG184" i="1"/>
  <c r="BS217" i="1"/>
  <c r="DT221" i="1"/>
  <c r="AF228" i="1"/>
  <c r="CH235" i="1"/>
  <c r="Q238" i="1"/>
  <c r="BW240" i="1"/>
  <c r="DJ244" i="1"/>
  <c r="DN244" i="1" s="1"/>
  <c r="DR244" i="1" s="1"/>
  <c r="DV244" i="1" s="1"/>
  <c r="DZ244" i="1" s="1"/>
  <c r="ED244" i="1" s="1"/>
  <c r="EJ244" i="1" s="1"/>
  <c r="EN244" i="1" s="1"/>
  <c r="L262" i="1"/>
  <c r="DS265" i="1"/>
  <c r="V271" i="1"/>
  <c r="AG288" i="1"/>
  <c r="BT13" i="1"/>
  <c r="R25" i="1"/>
  <c r="X25" i="1" s="1"/>
  <c r="V29" i="1"/>
  <c r="DG29" i="1"/>
  <c r="BG33" i="1"/>
  <c r="AF39" i="1"/>
  <c r="CW39" i="1"/>
  <c r="CX52" i="1"/>
  <c r="BG56" i="1"/>
  <c r="R54" i="1"/>
  <c r="X54" i="1" s="1"/>
  <c r="AD54" i="1" s="1"/>
  <c r="AI54" i="1" s="1"/>
  <c r="R57" i="1"/>
  <c r="DS65" i="1"/>
  <c r="AB65" i="1"/>
  <c r="EK71" i="1"/>
  <c r="DS101" i="1"/>
  <c r="DI131" i="1"/>
  <c r="DM131" i="1" s="1"/>
  <c r="DQ131" i="1" s="1"/>
  <c r="AB134" i="1"/>
  <c r="DS146" i="1"/>
  <c r="R150" i="1"/>
  <c r="AB160" i="1"/>
  <c r="AF168" i="1"/>
  <c r="DB170" i="1"/>
  <c r="DF170" i="1" s="1"/>
  <c r="DJ170" i="1" s="1"/>
  <c r="DN170" i="1" s="1"/>
  <c r="BF184" i="1"/>
  <c r="CG191" i="1"/>
  <c r="R208" i="1"/>
  <c r="X208" i="1" s="1"/>
  <c r="AD208" i="1" s="1"/>
  <c r="M228" i="1"/>
  <c r="EL238" i="1"/>
  <c r="R244" i="1"/>
  <c r="R247" i="1"/>
  <c r="X247" i="1" s="1"/>
  <c r="AD247" i="1" s="1"/>
  <c r="AU247" i="1" s="1"/>
  <c r="BS256" i="1"/>
  <c r="CR269" i="1"/>
  <c r="AR280" i="1"/>
  <c r="AZ280" i="1" s="1"/>
  <c r="DJ283" i="1"/>
  <c r="DN283" i="1" s="1"/>
  <c r="DR283" i="1" s="1"/>
  <c r="AH288" i="1"/>
  <c r="AR287" i="1"/>
  <c r="AZ287" i="1" s="1"/>
  <c r="BM287" i="1" s="1"/>
  <c r="BR287" i="1" s="1"/>
  <c r="R12" i="1"/>
  <c r="X12" i="1" s="1"/>
  <c r="AD12" i="1" s="1"/>
  <c r="AG12" i="1" s="1"/>
  <c r="CG16" i="1"/>
  <c r="V33" i="1"/>
  <c r="DG31" i="1"/>
  <c r="DI31" i="1" s="1"/>
  <c r="DM31" i="1" s="1"/>
  <c r="DQ31" i="1" s="1"/>
  <c r="DU31" i="1" s="1"/>
  <c r="DY31" i="1" s="1"/>
  <c r="EC31" i="1" s="1"/>
  <c r="DG39" i="1"/>
  <c r="R41" i="1"/>
  <c r="X41" i="1" s="1"/>
  <c r="AD41" i="1" s="1"/>
  <c r="M52" i="1"/>
  <c r="BT52" i="1"/>
  <c r="DT59" i="1"/>
  <c r="M65" i="1"/>
  <c r="V68" i="1"/>
  <c r="EL71" i="1"/>
  <c r="AF79" i="1"/>
  <c r="CG82" i="1"/>
  <c r="M101" i="1"/>
  <c r="CR113" i="1"/>
  <c r="AF125" i="1"/>
  <c r="AF146" i="1"/>
  <c r="BF168" i="1"/>
  <c r="CH191" i="1"/>
  <c r="M238" i="1"/>
  <c r="ED264" i="1"/>
  <c r="EJ264" i="1" s="1"/>
  <c r="EN264" i="1" s="1"/>
  <c r="AF43" i="1"/>
  <c r="BT43" i="1"/>
  <c r="CR43" i="1"/>
  <c r="CT40" i="1"/>
  <c r="CT43" i="1" s="1"/>
  <c r="DJ41" i="1"/>
  <c r="DN41" i="1" s="1"/>
  <c r="DR41" i="1" s="1"/>
  <c r="DJ42" i="1"/>
  <c r="DN42" i="1" s="1"/>
  <c r="DR42" i="1" s="1"/>
  <c r="M49" i="1"/>
  <c r="BS49" i="1"/>
  <c r="CQ49" i="1"/>
  <c r="R51" i="1"/>
  <c r="X51" i="1" s="1"/>
  <c r="AD51" i="1" s="1"/>
  <c r="Y56" i="1"/>
  <c r="W59" i="1"/>
  <c r="Y57" i="1"/>
  <c r="AE57" i="1" s="1"/>
  <c r="AE59" i="1" s="1"/>
  <c r="X64" i="1"/>
  <c r="AD64" i="1" s="1"/>
  <c r="CT64" i="1"/>
  <c r="CV64" i="1" s="1"/>
  <c r="BG71" i="1"/>
  <c r="CH71" i="1"/>
  <c r="BV73" i="1"/>
  <c r="AI97" i="1"/>
  <c r="DJ103" i="1"/>
  <c r="DN103" i="1" s="1"/>
  <c r="DR103" i="1" s="1"/>
  <c r="W113" i="1"/>
  <c r="Y111" i="1"/>
  <c r="Y113" i="1" s="1"/>
  <c r="CT153" i="1"/>
  <c r="CV153" i="1" s="1"/>
  <c r="DH170" i="1"/>
  <c r="R172" i="1"/>
  <c r="Q174" i="1"/>
  <c r="AI173" i="1"/>
  <c r="AG173" i="1"/>
  <c r="AC173" i="1"/>
  <c r="AU173" i="1"/>
  <c r="CR191" i="1"/>
  <c r="CT189" i="1"/>
  <c r="CT190" i="1"/>
  <c r="CV190" i="1" s="1"/>
  <c r="AJ194" i="1"/>
  <c r="AH194" i="1"/>
  <c r="AV194" i="1"/>
  <c r="CT246" i="1"/>
  <c r="CV246" i="1" s="1"/>
  <c r="CX29" i="1"/>
  <c r="DB27" i="1"/>
  <c r="DF27" i="1" s="1"/>
  <c r="DA37" i="1"/>
  <c r="DA39" i="1" s="1"/>
  <c r="CS48" i="1"/>
  <c r="CU48" i="1" s="1"/>
  <c r="CS55" i="1"/>
  <c r="CU55" i="1" s="1"/>
  <c r="BF62" i="1"/>
  <c r="CS180" i="1"/>
  <c r="CU180" i="1" s="1"/>
  <c r="Q36" i="1"/>
  <c r="R34" i="1"/>
  <c r="CQ29" i="1"/>
  <c r="CU45" i="1"/>
  <c r="CS45" i="1"/>
  <c r="CS53" i="1"/>
  <c r="CU53" i="1" s="1"/>
  <c r="CA62" i="1"/>
  <c r="CG61" i="1"/>
  <c r="CG62" i="1" s="1"/>
  <c r="CT65" i="1"/>
  <c r="CK71" i="1"/>
  <c r="CQ69" i="1"/>
  <c r="BL88" i="1"/>
  <c r="BN88" i="1" s="1"/>
  <c r="BD88" i="1"/>
  <c r="W146" i="1"/>
  <c r="Y143" i="1"/>
  <c r="Y146" i="1" s="1"/>
  <c r="CU165" i="1"/>
  <c r="CW165" i="1" s="1"/>
  <c r="DA165" i="1" s="1"/>
  <c r="DE165" i="1" s="1"/>
  <c r="CS165" i="1"/>
  <c r="DG10" i="1"/>
  <c r="CX16" i="1"/>
  <c r="CH24" i="1"/>
  <c r="CH26" i="1" s="1"/>
  <c r="DS24" i="1"/>
  <c r="DS26" i="1" s="1"/>
  <c r="AY25" i="1"/>
  <c r="BT33" i="1"/>
  <c r="DJ31" i="1"/>
  <c r="DN31" i="1" s="1"/>
  <c r="DR31" i="1" s="1"/>
  <c r="DV31" i="1" s="1"/>
  <c r="DZ31" i="1" s="1"/>
  <c r="ED31" i="1" s="1"/>
  <c r="EJ31" i="1" s="1"/>
  <c r="EN31" i="1" s="1"/>
  <c r="BF32" i="1"/>
  <c r="DA41" i="1"/>
  <c r="DE41" i="1" s="1"/>
  <c r="R45" i="1"/>
  <c r="X45" i="1" s="1"/>
  <c r="AD45" i="1" s="1"/>
  <c r="AI45" i="1" s="1"/>
  <c r="Q52" i="1"/>
  <c r="CT55" i="1"/>
  <c r="CV55" i="1" s="1"/>
  <c r="Y60" i="1"/>
  <c r="Y62" i="1" s="1"/>
  <c r="BT68" i="1"/>
  <c r="BM74" i="1"/>
  <c r="BR74" i="1" s="1"/>
  <c r="BV74" i="1" s="1"/>
  <c r="Y76" i="1"/>
  <c r="AE76" i="1" s="1"/>
  <c r="CX82" i="1"/>
  <c r="DT82" i="1"/>
  <c r="R83" i="1"/>
  <c r="X83" i="1" s="1"/>
  <c r="AJ216" i="1"/>
  <c r="AV216" i="1"/>
  <c r="AE226" i="1"/>
  <c r="AE228" i="1" s="1"/>
  <c r="Y228" i="1"/>
  <c r="Q235" i="1"/>
  <c r="R233" i="1"/>
  <c r="R21" i="1"/>
  <c r="X21" i="1" s="1"/>
  <c r="AD21" i="1" s="1"/>
  <c r="AM21" i="1" s="1"/>
  <c r="R38" i="1"/>
  <c r="X38" i="1" s="1"/>
  <c r="AD38" i="1" s="1"/>
  <c r="AI38" i="1" s="1"/>
  <c r="AI39" i="1" s="1"/>
  <c r="BO85" i="1"/>
  <c r="BS84" i="1"/>
  <c r="BS85" i="1" s="1"/>
  <c r="R15" i="1"/>
  <c r="X15" i="1" s="1"/>
  <c r="AD15" i="1" s="1"/>
  <c r="AI15" i="1" s="1"/>
  <c r="CQ15" i="1"/>
  <c r="CS15" i="1" s="1"/>
  <c r="AB16" i="1"/>
  <c r="BG24" i="1"/>
  <c r="BG26" i="1" s="1"/>
  <c r="DJ32" i="1"/>
  <c r="DN32" i="1" s="1"/>
  <c r="DR32" i="1" s="1"/>
  <c r="DV32" i="1" s="1"/>
  <c r="DZ32" i="1" s="1"/>
  <c r="ED32" i="1" s="1"/>
  <c r="EH32" i="1" s="1"/>
  <c r="CX43" i="1"/>
  <c r="DS43" i="1"/>
  <c r="R42" i="1"/>
  <c r="X42" i="1" s="1"/>
  <c r="AD42" i="1" s="1"/>
  <c r="AG42" i="1" s="1"/>
  <c r="DJ47" i="1"/>
  <c r="DN47" i="1" s="1"/>
  <c r="DR47" i="1" s="1"/>
  <c r="R48" i="1"/>
  <c r="X48" i="1" s="1"/>
  <c r="BV55" i="1"/>
  <c r="CR59" i="1"/>
  <c r="CT57" i="1"/>
  <c r="CT59" i="1" s="1"/>
  <c r="AB59" i="1"/>
  <c r="AF68" i="1"/>
  <c r="CS70" i="1"/>
  <c r="CU70" i="1" s="1"/>
  <c r="BG79" i="1"/>
  <c r="CH79" i="1"/>
  <c r="CR85" i="1"/>
  <c r="CT83" i="1"/>
  <c r="BR88" i="1"/>
  <c r="R94" i="1"/>
  <c r="CH104" i="1"/>
  <c r="CW117" i="1"/>
  <c r="DA115" i="1"/>
  <c r="DE115" i="1" s="1"/>
  <c r="DE117" i="1" s="1"/>
  <c r="CX142" i="1"/>
  <c r="DB141" i="1"/>
  <c r="CQ179" i="1"/>
  <c r="CS177" i="1"/>
  <c r="CS179" i="1" s="1"/>
  <c r="R5" i="1"/>
  <c r="R7" i="1" s="1"/>
  <c r="DH7" i="1"/>
  <c r="EL7" i="1"/>
  <c r="DB6" i="1"/>
  <c r="DF6" i="1" s="1"/>
  <c r="DJ6" i="1" s="1"/>
  <c r="DN6" i="1" s="1"/>
  <c r="DR6" i="1" s="1"/>
  <c r="DV6" i="1" s="1"/>
  <c r="DZ6" i="1" s="1"/>
  <c r="CG10" i="1"/>
  <c r="CH10" i="1"/>
  <c r="DI9" i="1"/>
  <c r="DM9" i="1" s="1"/>
  <c r="DQ9" i="1" s="1"/>
  <c r="DU9" i="1" s="1"/>
  <c r="DY9" i="1" s="1"/>
  <c r="EC9" i="1" s="1"/>
  <c r="EG9" i="1" s="1"/>
  <c r="CW10" i="1"/>
  <c r="CR11" i="1"/>
  <c r="CL13" i="1"/>
  <c r="BS16" i="1"/>
  <c r="CL16" i="1"/>
  <c r="CR14" i="1"/>
  <c r="CT14" i="1" s="1"/>
  <c r="DG16" i="1"/>
  <c r="M24" i="1"/>
  <c r="M26" i="1" s="1"/>
  <c r="AB24" i="1"/>
  <c r="BS24" i="1"/>
  <c r="BS26" i="1" s="1"/>
  <c r="CX24" i="1"/>
  <c r="CX26" i="1" s="1"/>
  <c r="DJ27" i="1"/>
  <c r="DN27" i="1" s="1"/>
  <c r="W33" i="1"/>
  <c r="Y30" i="1"/>
  <c r="AE30" i="1" s="1"/>
  <c r="AN30" i="1" s="1"/>
  <c r="M36" i="1"/>
  <c r="CR34" i="1"/>
  <c r="CR36" i="1" s="1"/>
  <c r="R35" i="1"/>
  <c r="X35" i="1" s="1"/>
  <c r="AD35" i="1" s="1"/>
  <c r="AU35" i="1" s="1"/>
  <c r="X40" i="1"/>
  <c r="BS43" i="1"/>
  <c r="DB40" i="1"/>
  <c r="DB43" i="1" s="1"/>
  <c r="X44" i="1"/>
  <c r="AD44" i="1" s="1"/>
  <c r="AU44" i="1" s="1"/>
  <c r="DU45" i="1"/>
  <c r="DY45" i="1" s="1"/>
  <c r="EC45" i="1" s="1"/>
  <c r="BG49" i="1"/>
  <c r="CH49" i="1"/>
  <c r="CX49" i="1"/>
  <c r="DB46" i="1"/>
  <c r="DF46" i="1" s="1"/>
  <c r="DF49" i="1" s="1"/>
  <c r="CK49" i="1"/>
  <c r="V59" i="1"/>
  <c r="CG59" i="1"/>
  <c r="CS59" i="1"/>
  <c r="DT75" i="1"/>
  <c r="R73" i="1"/>
  <c r="X73" i="1" s="1"/>
  <c r="DV73" i="1"/>
  <c r="DZ73" i="1" s="1"/>
  <c r="Q82" i="1"/>
  <c r="AF82" i="1"/>
  <c r="BT82" i="1"/>
  <c r="EK82" i="1"/>
  <c r="DB90" i="1"/>
  <c r="DF90" i="1" s="1"/>
  <c r="DJ90" i="1" s="1"/>
  <c r="DN90" i="1" s="1"/>
  <c r="DR90" i="1" s="1"/>
  <c r="DV90" i="1" s="1"/>
  <c r="DZ90" i="1" s="1"/>
  <c r="ED90" i="1" s="1"/>
  <c r="EH90" i="1" s="1"/>
  <c r="DF93" i="1"/>
  <c r="CS94" i="1"/>
  <c r="CU94" i="1" s="1"/>
  <c r="Q101" i="1"/>
  <c r="DB108" i="1"/>
  <c r="CR108" i="1"/>
  <c r="DG113" i="1"/>
  <c r="R105" i="1"/>
  <c r="BS110" i="1"/>
  <c r="Q113" i="1"/>
  <c r="CH113" i="1"/>
  <c r="DH113" i="1"/>
  <c r="CL117" i="1"/>
  <c r="CR115" i="1"/>
  <c r="CX125" i="1"/>
  <c r="CS129" i="1"/>
  <c r="CU129" i="1" s="1"/>
  <c r="R141" i="1"/>
  <c r="X141" i="1" s="1"/>
  <c r="AD141" i="1" s="1"/>
  <c r="AI141" i="1" s="1"/>
  <c r="AI163" i="1"/>
  <c r="AG163" i="1"/>
  <c r="AC163" i="1"/>
  <c r="AI167" i="1"/>
  <c r="AG167" i="1"/>
  <c r="AC167" i="1"/>
  <c r="CR184" i="1"/>
  <c r="CT181" i="1"/>
  <c r="BX185" i="1"/>
  <c r="CB185" i="1"/>
  <c r="CF185" i="1"/>
  <c r="CR266" i="1"/>
  <c r="CL271" i="1"/>
  <c r="V7" i="1"/>
  <c r="DS7" i="1"/>
  <c r="M7" i="1"/>
  <c r="W10" i="1"/>
  <c r="M10" i="1"/>
  <c r="CX10" i="1"/>
  <c r="CG13" i="1"/>
  <c r="CW13" i="1"/>
  <c r="BG13" i="1"/>
  <c r="DJ12" i="1"/>
  <c r="DN12" i="1" s="1"/>
  <c r="DR12" i="1" s="1"/>
  <c r="DV12" i="1" s="1"/>
  <c r="DZ12" i="1" s="1"/>
  <c r="Q16" i="1"/>
  <c r="AF16" i="1"/>
  <c r="BT16" i="1"/>
  <c r="EK16" i="1"/>
  <c r="Q24" i="1"/>
  <c r="Q26" i="1" s="1"/>
  <c r="AF24" i="1"/>
  <c r="AF26" i="1" s="1"/>
  <c r="BT24" i="1"/>
  <c r="BT26" i="1" s="1"/>
  <c r="CQ24" i="1"/>
  <c r="CQ26" i="1" s="1"/>
  <c r="R18" i="1"/>
  <c r="X18" i="1" s="1"/>
  <c r="AD18" i="1" s="1"/>
  <c r="AU18" i="1" s="1"/>
  <c r="R22" i="1"/>
  <c r="X22" i="1" s="1"/>
  <c r="AD22" i="1" s="1"/>
  <c r="AG22" i="1" s="1"/>
  <c r="R28" i="1"/>
  <c r="X28" i="1" s="1"/>
  <c r="AD28" i="1" s="1"/>
  <c r="AM28" i="1" s="1"/>
  <c r="CR29" i="1"/>
  <c r="BF33" i="1"/>
  <c r="CW33" i="1"/>
  <c r="DS33" i="1"/>
  <c r="R31" i="1"/>
  <c r="X31" i="1" s="1"/>
  <c r="BS36" i="1"/>
  <c r="CH36" i="1"/>
  <c r="CX36" i="1"/>
  <c r="EK36" i="1"/>
  <c r="AB36" i="1"/>
  <c r="W39" i="1"/>
  <c r="BG39" i="1"/>
  <c r="BS39" i="1"/>
  <c r="CV39" i="1"/>
  <c r="BF43" i="1"/>
  <c r="CG43" i="1"/>
  <c r="Q49" i="1"/>
  <c r="EK49" i="1"/>
  <c r="V52" i="1"/>
  <c r="BF52" i="1"/>
  <c r="BT56" i="1"/>
  <c r="CR56" i="1"/>
  <c r="EK56" i="1"/>
  <c r="CU54" i="1"/>
  <c r="CK62" i="1"/>
  <c r="CR60" i="1"/>
  <c r="CR62" i="1" s="1"/>
  <c r="DS62" i="1"/>
  <c r="R61" i="1"/>
  <c r="X61" i="1" s="1"/>
  <c r="AF71" i="1"/>
  <c r="AV70" i="1"/>
  <c r="M75" i="1"/>
  <c r="BS75" i="1"/>
  <c r="DG75" i="1"/>
  <c r="EK75" i="1"/>
  <c r="DJ74" i="1"/>
  <c r="DN74" i="1" s="1"/>
  <c r="DR74" i="1" s="1"/>
  <c r="DV74" i="1" s="1"/>
  <c r="DZ74" i="1" s="1"/>
  <c r="ED74" i="1" s="1"/>
  <c r="DU74" i="1"/>
  <c r="DY74" i="1" s="1"/>
  <c r="EC74" i="1" s="1"/>
  <c r="R76" i="1"/>
  <c r="CX79" i="1"/>
  <c r="DT79" i="1"/>
  <c r="R77" i="1"/>
  <c r="X77" i="1" s="1"/>
  <c r="AD77" i="1" s="1"/>
  <c r="R78" i="1"/>
  <c r="X78" i="1" s="1"/>
  <c r="AD78" i="1" s="1"/>
  <c r="V82" i="1"/>
  <c r="BF82" i="1"/>
  <c r="CS82" i="1"/>
  <c r="V85" i="1"/>
  <c r="BF85" i="1"/>
  <c r="DU87" i="1"/>
  <c r="DY87" i="1" s="1"/>
  <c r="EC87" i="1" s="1"/>
  <c r="AF93" i="1"/>
  <c r="AN92" i="1"/>
  <c r="BF98" i="1"/>
  <c r="CG98" i="1"/>
  <c r="EK98" i="1"/>
  <c r="Y99" i="1"/>
  <c r="Y101" i="1" s="1"/>
  <c r="BG101" i="1"/>
  <c r="CG101" i="1"/>
  <c r="EL104" i="1"/>
  <c r="V104" i="1"/>
  <c r="AV105" i="1"/>
  <c r="V110" i="1"/>
  <c r="R111" i="1"/>
  <c r="X111" i="1" s="1"/>
  <c r="BS113" i="1"/>
  <c r="DJ111" i="1"/>
  <c r="DN111" i="1" s="1"/>
  <c r="DB112" i="1"/>
  <c r="EW113" i="1"/>
  <c r="AH114" i="1"/>
  <c r="ER135" i="1"/>
  <c r="EX135" i="1"/>
  <c r="FB135" i="1"/>
  <c r="CS154" i="1"/>
  <c r="CU154" i="1" s="1"/>
  <c r="CL160" i="1"/>
  <c r="BJ185" i="1"/>
  <c r="CT173" i="1"/>
  <c r="CV173" i="1"/>
  <c r="EK179" i="1"/>
  <c r="BH185" i="1"/>
  <c r="BO185" i="1"/>
  <c r="Y188" i="1"/>
  <c r="AE188" i="1" s="1"/>
  <c r="W191" i="1"/>
  <c r="CT192" i="1"/>
  <c r="CV192" i="1" s="1"/>
  <c r="AJ206" i="1"/>
  <c r="AN206" i="1"/>
  <c r="CS211" i="1"/>
  <c r="CU211" i="1" s="1"/>
  <c r="DF224" i="1"/>
  <c r="DF225" i="1" s="1"/>
  <c r="DB225" i="1"/>
  <c r="CS237" i="1"/>
  <c r="DU92" i="1"/>
  <c r="DY92" i="1" s="1"/>
  <c r="EC92" i="1" s="1"/>
  <c r="CU96" i="1"/>
  <c r="DG96" i="1" s="1"/>
  <c r="DG98" i="1" s="1"/>
  <c r="W7" i="1"/>
  <c r="BG7" i="1"/>
  <c r="X6" i="1"/>
  <c r="AD6" i="1" s="1"/>
  <c r="AU6" i="1" s="1"/>
  <c r="BF7" i="1"/>
  <c r="Y8" i="1"/>
  <c r="AE8" i="1" s="1"/>
  <c r="AE10" i="1" s="1"/>
  <c r="R9" i="1"/>
  <c r="X9" i="1" s="1"/>
  <c r="AD9" i="1" s="1"/>
  <c r="AI9" i="1" s="1"/>
  <c r="AB13" i="1"/>
  <c r="W16" i="1"/>
  <c r="BG16" i="1"/>
  <c r="DA15" i="1"/>
  <c r="DE15" i="1" s="1"/>
  <c r="DI15" i="1" s="1"/>
  <c r="DM15" i="1" s="1"/>
  <c r="EC15" i="1" s="1"/>
  <c r="V24" i="1"/>
  <c r="V26" i="1" s="1"/>
  <c r="BF24" i="1"/>
  <c r="BF26" i="1" s="1"/>
  <c r="CG24" i="1"/>
  <c r="CG26" i="1" s="1"/>
  <c r="EK24" i="1"/>
  <c r="EK26" i="1" s="1"/>
  <c r="DI18" i="1"/>
  <c r="DM18" i="1" s="1"/>
  <c r="DQ18" i="1" s="1"/>
  <c r="DU18" i="1" s="1"/>
  <c r="DY18" i="1" s="1"/>
  <c r="DI25" i="1"/>
  <c r="DM25" i="1" s="1"/>
  <c r="DQ25" i="1" s="1"/>
  <c r="DU25" i="1" s="1"/>
  <c r="DY25" i="1" s="1"/>
  <c r="EC25" i="1" s="1"/>
  <c r="EI25" i="1" s="1"/>
  <c r="EM25" i="1" s="1"/>
  <c r="W29" i="1"/>
  <c r="BG29" i="1"/>
  <c r="CG29" i="1"/>
  <c r="DH29" i="1"/>
  <c r="DT33" i="1"/>
  <c r="CH33" i="1"/>
  <c r="AF36" i="1"/>
  <c r="BT36" i="1"/>
  <c r="EL36" i="1"/>
  <c r="W36" i="1"/>
  <c r="BG36" i="1"/>
  <c r="DT36" i="1"/>
  <c r="R37" i="1"/>
  <c r="X37" i="1" s="1"/>
  <c r="CH39" i="1"/>
  <c r="DS39" i="1"/>
  <c r="Q43" i="1"/>
  <c r="DH43" i="1"/>
  <c r="EL43" i="1"/>
  <c r="W43" i="1"/>
  <c r="BG43" i="1"/>
  <c r="DH49" i="1"/>
  <c r="EL49" i="1"/>
  <c r="Y50" i="1"/>
  <c r="Y52" i="1" s="1"/>
  <c r="DA51" i="1"/>
  <c r="DE51" i="1" s="1"/>
  <c r="DI51" i="1" s="1"/>
  <c r="DM51" i="1" s="1"/>
  <c r="DQ51" i="1" s="1"/>
  <c r="DU51" i="1" s="1"/>
  <c r="DY51" i="1" s="1"/>
  <c r="EC51" i="1" s="1"/>
  <c r="W56" i="1"/>
  <c r="CG56" i="1"/>
  <c r="V56" i="1"/>
  <c r="CV54" i="1"/>
  <c r="CX54" i="1" s="1"/>
  <c r="CU57" i="1"/>
  <c r="X58" i="1"/>
  <c r="AD58" i="1" s="1"/>
  <c r="AU58" i="1" s="1"/>
  <c r="CU58" i="1"/>
  <c r="DJ58" i="1"/>
  <c r="DN58" i="1" s="1"/>
  <c r="DR58" i="1" s="1"/>
  <c r="DV58" i="1" s="1"/>
  <c r="DZ58" i="1" s="1"/>
  <c r="DZ59" i="1" s="1"/>
  <c r="BT62" i="1"/>
  <c r="CX62" i="1"/>
  <c r="BS65" i="1"/>
  <c r="Q65" i="1"/>
  <c r="CH65" i="1"/>
  <c r="Q68" i="1"/>
  <c r="W68" i="1"/>
  <c r="BG68" i="1"/>
  <c r="V71" i="1"/>
  <c r="Q75" i="1"/>
  <c r="BT75" i="1"/>
  <c r="CS75" i="1"/>
  <c r="DH75" i="1"/>
  <c r="EL75" i="1"/>
  <c r="CQ79" i="1"/>
  <c r="DU78" i="1"/>
  <c r="DY78" i="1" s="1"/>
  <c r="EC78" i="1" s="1"/>
  <c r="EI78" i="1" s="1"/>
  <c r="EM78" i="1" s="1"/>
  <c r="CH85" i="1"/>
  <c r="DS85" i="1"/>
  <c r="R86" i="1"/>
  <c r="X86" i="1" s="1"/>
  <c r="AD86" i="1" s="1"/>
  <c r="AI86" i="1" s="1"/>
  <c r="BE88" i="1"/>
  <c r="DA90" i="1"/>
  <c r="DE90" i="1" s="1"/>
  <c r="DI90" i="1" s="1"/>
  <c r="DM90" i="1" s="1"/>
  <c r="DQ90" i="1" s="1"/>
  <c r="DU90" i="1" s="1"/>
  <c r="DY90" i="1" s="1"/>
  <c r="EC90" i="1" s="1"/>
  <c r="EU90" i="1" s="1"/>
  <c r="DA91" i="1"/>
  <c r="AB93" i="1"/>
  <c r="R95" i="1"/>
  <c r="X95" i="1" s="1"/>
  <c r="AD95" i="1" s="1"/>
  <c r="DV95" i="1"/>
  <c r="DZ95" i="1" s="1"/>
  <c r="ED95" i="1" s="1"/>
  <c r="EJ95" i="1" s="1"/>
  <c r="EN95" i="1" s="1"/>
  <c r="Q98" i="1"/>
  <c r="CH98" i="1"/>
  <c r="R99" i="1"/>
  <c r="CV100" i="1"/>
  <c r="DH100" i="1" s="1"/>
  <c r="BG104" i="1"/>
  <c r="CL104" i="1"/>
  <c r="BF107" i="1"/>
  <c r="CU106" i="1"/>
  <c r="DG106" i="1" s="1"/>
  <c r="BG110" i="1"/>
  <c r="CH110" i="1"/>
  <c r="AN114" i="1"/>
  <c r="BS117" i="1"/>
  <c r="DN130" i="1"/>
  <c r="DR130" i="1" s="1"/>
  <c r="DF130" i="1"/>
  <c r="CX134" i="1"/>
  <c r="DB132" i="1"/>
  <c r="DB134" i="1" s="1"/>
  <c r="CQ139" i="1"/>
  <c r="CS137" i="1"/>
  <c r="CS139" i="1" s="1"/>
  <c r="DE141" i="1"/>
  <c r="DE142" i="1" s="1"/>
  <c r="DA142" i="1"/>
  <c r="AJ145" i="1"/>
  <c r="AV145" i="1"/>
  <c r="AN145" i="1"/>
  <c r="AR145" i="1" s="1"/>
  <c r="EK156" i="1"/>
  <c r="X155" i="1"/>
  <c r="AD155" i="1" s="1"/>
  <c r="EL160" i="1"/>
  <c r="AU163" i="1"/>
  <c r="AU167" i="1"/>
  <c r="CT167" i="1"/>
  <c r="CT168" i="1" s="1"/>
  <c r="AJ182" i="1"/>
  <c r="AN182" i="1"/>
  <c r="ER185" i="1"/>
  <c r="DS191" i="1"/>
  <c r="W213" i="1"/>
  <c r="Y210" i="1"/>
  <c r="Y213" i="1" s="1"/>
  <c r="DB115" i="1"/>
  <c r="W122" i="1"/>
  <c r="CG122" i="1"/>
  <c r="DS122" i="1"/>
  <c r="BG125" i="1"/>
  <c r="CT123" i="1"/>
  <c r="CT125" i="1" s="1"/>
  <c r="DB123" i="1"/>
  <c r="DT125" i="1"/>
  <c r="R124" i="1"/>
  <c r="AP135" i="1"/>
  <c r="AX135" i="1"/>
  <c r="CU126" i="1"/>
  <c r="CW126" i="1" s="1"/>
  <c r="DA126" i="1" s="1"/>
  <c r="DE126" i="1" s="1"/>
  <c r="R128" i="1"/>
  <c r="X128" i="1" s="1"/>
  <c r="AD128" i="1" s="1"/>
  <c r="R130" i="1"/>
  <c r="R131" i="1"/>
  <c r="R133" i="1"/>
  <c r="X133" i="1" s="1"/>
  <c r="AD133" i="1" s="1"/>
  <c r="AU133" i="1" s="1"/>
  <c r="DJ136" i="1"/>
  <c r="DN136" i="1" s="1"/>
  <c r="DR136" i="1" s="1"/>
  <c r="DV136" i="1" s="1"/>
  <c r="DZ136" i="1" s="1"/>
  <c r="ED136" i="1" s="1"/>
  <c r="R137" i="1"/>
  <c r="AF139" i="1"/>
  <c r="BT139" i="1"/>
  <c r="CR139" i="1"/>
  <c r="CV138" i="1"/>
  <c r="CX138" i="1" s="1"/>
  <c r="CX139" i="1" s="1"/>
  <c r="DQ140" i="1"/>
  <c r="DU140" i="1" s="1"/>
  <c r="DI144" i="1"/>
  <c r="DM144" i="1" s="1"/>
  <c r="DQ144" i="1" s="1"/>
  <c r="DU144" i="1" s="1"/>
  <c r="DY144" i="1" s="1"/>
  <c r="EC144" i="1" s="1"/>
  <c r="EI144" i="1" s="1"/>
  <c r="EM144" i="1" s="1"/>
  <c r="DV145" i="1"/>
  <c r="DZ145" i="1" s="1"/>
  <c r="ED145" i="1" s="1"/>
  <c r="EH145" i="1" s="1"/>
  <c r="CV154" i="1"/>
  <c r="AH155" i="1"/>
  <c r="R158" i="1"/>
  <c r="X158" i="1" s="1"/>
  <c r="AD158" i="1" s="1"/>
  <c r="AI158" i="1" s="1"/>
  <c r="AV158" i="1"/>
  <c r="CU158" i="1"/>
  <c r="M160" i="1"/>
  <c r="BS160" i="1"/>
  <c r="CQ160" i="1"/>
  <c r="EP185" i="1"/>
  <c r="DB161" i="1"/>
  <c r="DF161" i="1" s="1"/>
  <c r="DJ161" i="1" s="1"/>
  <c r="DN161" i="1" s="1"/>
  <c r="DR161" i="1" s="1"/>
  <c r="DV161" i="1" s="1"/>
  <c r="DZ161" i="1" s="1"/>
  <c r="ED161" i="1" s="1"/>
  <c r="BG164" i="1"/>
  <c r="CH164" i="1"/>
  <c r="AB164" i="1"/>
  <c r="R170" i="1"/>
  <c r="X170" i="1" s="1"/>
  <c r="AD170" i="1" s="1"/>
  <c r="M174" i="1"/>
  <c r="BS174" i="1"/>
  <c r="R177" i="1"/>
  <c r="BS179" i="1"/>
  <c r="CH179" i="1"/>
  <c r="R180" i="1"/>
  <c r="X180" i="1" s="1"/>
  <c r="AD180" i="1" s="1"/>
  <c r="CG184" i="1"/>
  <c r="CU183" i="1"/>
  <c r="CW183" i="1" s="1"/>
  <c r="DA183" i="1" s="1"/>
  <c r="DE183" i="1" s="1"/>
  <c r="CQ184" i="1"/>
  <c r="M191" i="1"/>
  <c r="CS189" i="1"/>
  <c r="CS191" i="1" s="1"/>
  <c r="CQ195" i="1"/>
  <c r="DS195" i="1"/>
  <c r="CX195" i="1"/>
  <c r="CQ205" i="1"/>
  <c r="CS199" i="1"/>
  <c r="CS205" i="1" s="1"/>
  <c r="BF209" i="1"/>
  <c r="CG209" i="1"/>
  <c r="CR213" i="1"/>
  <c r="R214" i="1"/>
  <c r="X214" i="1" s="1"/>
  <c r="AD214" i="1" s="1"/>
  <c r="AI214" i="1" s="1"/>
  <c r="CQ217" i="1"/>
  <c r="CS215" i="1"/>
  <c r="W225" i="1"/>
  <c r="Y224" i="1"/>
  <c r="Y225" i="1" s="1"/>
  <c r="CR225" i="1"/>
  <c r="CT224" i="1"/>
  <c r="CT225" i="1" s="1"/>
  <c r="Q228" i="1"/>
  <c r="R226" i="1"/>
  <c r="AI230" i="1"/>
  <c r="AC230" i="1"/>
  <c r="R237" i="1"/>
  <c r="X237" i="1" s="1"/>
  <c r="AD237" i="1" s="1"/>
  <c r="AI237" i="1" s="1"/>
  <c r="EL240" i="1"/>
  <c r="R245" i="1"/>
  <c r="X245" i="1" s="1"/>
  <c r="AD245" i="1" s="1"/>
  <c r="CS252" i="1"/>
  <c r="CU252" i="1" s="1"/>
  <c r="AR286" i="1"/>
  <c r="AR288" i="1" s="1"/>
  <c r="AZ272" i="1"/>
  <c r="AR284" i="1"/>
  <c r="AZ284" i="1" s="1"/>
  <c r="X114" i="1"/>
  <c r="AD114" i="1" s="1"/>
  <c r="V117" i="1"/>
  <c r="DI116" i="1"/>
  <c r="DM116" i="1" s="1"/>
  <c r="DQ116" i="1" s="1"/>
  <c r="AH119" i="1"/>
  <c r="BG122" i="1"/>
  <c r="CW125" i="1"/>
  <c r="V125" i="1"/>
  <c r="N135" i="1"/>
  <c r="BB135" i="1"/>
  <c r="CP135" i="1"/>
  <c r="EP135" i="1"/>
  <c r="ET135" i="1"/>
  <c r="CU128" i="1"/>
  <c r="DG128" i="1" s="1"/>
  <c r="R129" i="1"/>
  <c r="X129" i="1" s="1"/>
  <c r="AD129" i="1" s="1"/>
  <c r="W134" i="1"/>
  <c r="BF134" i="1"/>
  <c r="CT132" i="1"/>
  <c r="CT134" i="1" s="1"/>
  <c r="CU138" i="1"/>
  <c r="Q139" i="1"/>
  <c r="AB139" i="1"/>
  <c r="R140" i="1"/>
  <c r="BS142" i="1"/>
  <c r="EL142" i="1"/>
  <c r="Q146" i="1"/>
  <c r="BS146" i="1"/>
  <c r="R144" i="1"/>
  <c r="X144" i="1" s="1"/>
  <c r="AD144" i="1" s="1"/>
  <c r="AM144" i="1" s="1"/>
  <c r="DJ144" i="1"/>
  <c r="DN144" i="1" s="1"/>
  <c r="DR144" i="1" s="1"/>
  <c r="DV144" i="1" s="1"/>
  <c r="DZ144" i="1" s="1"/>
  <c r="DZ146" i="1" s="1"/>
  <c r="R145" i="1"/>
  <c r="X145" i="1" s="1"/>
  <c r="AD145" i="1" s="1"/>
  <c r="AB146" i="1"/>
  <c r="BT156" i="1"/>
  <c r="DT156" i="1"/>
  <c r="CU150" i="1"/>
  <c r="AB156" i="1"/>
  <c r="AF160" i="1"/>
  <c r="CT160" i="1"/>
  <c r="EK160" i="1"/>
  <c r="N185" i="1"/>
  <c r="ET185" i="1"/>
  <c r="R166" i="1"/>
  <c r="R168" i="1" s="1"/>
  <c r="CQ168" i="1"/>
  <c r="M168" i="1"/>
  <c r="AB168" i="1"/>
  <c r="AF174" i="1"/>
  <c r="DR175" i="1"/>
  <c r="DV175" i="1" s="1"/>
  <c r="DT179" i="1"/>
  <c r="CW179" i="1"/>
  <c r="M184" i="1"/>
  <c r="CH184" i="1"/>
  <c r="EL184" i="1"/>
  <c r="CV183" i="1"/>
  <c r="K185" i="1"/>
  <c r="P185" i="1"/>
  <c r="W184" i="1"/>
  <c r="DK185" i="1"/>
  <c r="EB185" i="1"/>
  <c r="Y186" i="1"/>
  <c r="Y187" i="1" s="1"/>
  <c r="AF191" i="1"/>
  <c r="BT191" i="1"/>
  <c r="DT191" i="1"/>
  <c r="EL191" i="1"/>
  <c r="AH189" i="1"/>
  <c r="AH190" i="1"/>
  <c r="R192" i="1"/>
  <c r="X192" i="1" s="1"/>
  <c r="AD192" i="1" s="1"/>
  <c r="AU192" i="1" s="1"/>
  <c r="W195" i="1"/>
  <c r="BF195" i="1"/>
  <c r="BT195" i="1"/>
  <c r="CT195" i="1"/>
  <c r="AF205" i="1"/>
  <c r="DH205" i="1"/>
  <c r="EL205" i="1"/>
  <c r="DJ200" i="1"/>
  <c r="DN200" i="1" s="1"/>
  <c r="DR200" i="1" s="1"/>
  <c r="DV200" i="1" s="1"/>
  <c r="DZ200" i="1" s="1"/>
  <c r="DI203" i="1"/>
  <c r="DM203" i="1" s="1"/>
  <c r="DQ203" i="1" s="1"/>
  <c r="X204" i="1"/>
  <c r="AD204" i="1" s="1"/>
  <c r="DJ204" i="1"/>
  <c r="DN204" i="1" s="1"/>
  <c r="DR204" i="1" s="1"/>
  <c r="DV204" i="1" s="1"/>
  <c r="DZ204" i="1" s="1"/>
  <c r="ED204" i="1" s="1"/>
  <c r="DA205" i="1"/>
  <c r="X206" i="1"/>
  <c r="AD206" i="1" s="1"/>
  <c r="Q209" i="1"/>
  <c r="BG209" i="1"/>
  <c r="CH209" i="1"/>
  <c r="CT207" i="1"/>
  <c r="BT217" i="1"/>
  <c r="CT215" i="1"/>
  <c r="DH219" i="1"/>
  <c r="CX219" i="1"/>
  <c r="R220" i="1"/>
  <c r="X220" i="1" s="1"/>
  <c r="AD220" i="1" s="1"/>
  <c r="AG220" i="1" s="1"/>
  <c r="AJ220" i="1"/>
  <c r="AV220" i="1"/>
  <c r="AO223" i="1"/>
  <c r="R227" i="1"/>
  <c r="X227" i="1" s="1"/>
  <c r="AD227" i="1" s="1"/>
  <c r="DB230" i="1"/>
  <c r="DF230" i="1" s="1"/>
  <c r="DJ230" i="1" s="1"/>
  <c r="DN230" i="1" s="1"/>
  <c r="ED230" i="1" s="1"/>
  <c r="R236" i="1"/>
  <c r="CR236" i="1"/>
  <c r="CT236" i="1" s="1"/>
  <c r="CL238" i="1"/>
  <c r="CL240" i="1" s="1"/>
  <c r="CT242" i="1"/>
  <c r="CV242" i="1" s="1"/>
  <c r="AV243" i="1"/>
  <c r="AH243" i="1"/>
  <c r="BI262" i="1"/>
  <c r="AF260" i="1"/>
  <c r="BT260" i="1"/>
  <c r="CH117" i="1"/>
  <c r="X116" i="1"/>
  <c r="AD116" i="1" s="1"/>
  <c r="AG116" i="1" s="1"/>
  <c r="X118" i="1"/>
  <c r="AD118" i="1" s="1"/>
  <c r="AM118" i="1" s="1"/>
  <c r="J135" i="1"/>
  <c r="AL135" i="1"/>
  <c r="AT135" i="1"/>
  <c r="BJ135" i="1"/>
  <c r="BZ135" i="1"/>
  <c r="CD135" i="1"/>
  <c r="CV128" i="1"/>
  <c r="BG134" i="1"/>
  <c r="CH134" i="1"/>
  <c r="DU132" i="1"/>
  <c r="DY132" i="1" s="1"/>
  <c r="EC132" i="1" s="1"/>
  <c r="CW134" i="1"/>
  <c r="BT142" i="1"/>
  <c r="EU140" i="1"/>
  <c r="BT146" i="1"/>
  <c r="AX185" i="1"/>
  <c r="W156" i="1"/>
  <c r="BF156" i="1"/>
  <c r="CG156" i="1"/>
  <c r="CV149" i="1"/>
  <c r="X151" i="1"/>
  <c r="AD151" i="1" s="1"/>
  <c r="AM151" i="1" s="1"/>
  <c r="CU152" i="1"/>
  <c r="X154" i="1"/>
  <c r="AD154" i="1" s="1"/>
  <c r="AH158" i="1"/>
  <c r="AR158" i="1" s="1"/>
  <c r="AZ158" i="1" s="1"/>
  <c r="CG160" i="1"/>
  <c r="CS160" i="1"/>
  <c r="R161" i="1"/>
  <c r="X161" i="1" s="1"/>
  <c r="AD161" i="1" s="1"/>
  <c r="BT164" i="1"/>
  <c r="CR164" i="1"/>
  <c r="J185" i="1"/>
  <c r="BB185" i="1"/>
  <c r="BT168" i="1"/>
  <c r="CR168" i="1"/>
  <c r="CS168" i="1"/>
  <c r="DJ169" i="1"/>
  <c r="DN169" i="1" s="1"/>
  <c r="X175" i="1"/>
  <c r="AD175" i="1" s="1"/>
  <c r="AM175" i="1" s="1"/>
  <c r="CV176" i="1"/>
  <c r="V179" i="1"/>
  <c r="CP185" i="1"/>
  <c r="DG179" i="1"/>
  <c r="X178" i="1"/>
  <c r="AD178" i="1" s="1"/>
  <c r="Q184" i="1"/>
  <c r="CV182" i="1"/>
  <c r="CX182" i="1" s="1"/>
  <c r="CZ185" i="1"/>
  <c r="AB187" i="1"/>
  <c r="CU190" i="1"/>
  <c r="AB191" i="1"/>
  <c r="Y195" i="1"/>
  <c r="CS195" i="1"/>
  <c r="V205" i="1"/>
  <c r="CG205" i="1"/>
  <c r="DJ201" i="1"/>
  <c r="DN201" i="1" s="1"/>
  <c r="DR201" i="1" s="1"/>
  <c r="DV201" i="1" s="1"/>
  <c r="DZ201" i="1" s="1"/>
  <c r="ED201" i="1" s="1"/>
  <c r="DI202" i="1"/>
  <c r="DM202" i="1" s="1"/>
  <c r="DQ202" i="1" s="1"/>
  <c r="DU202" i="1" s="1"/>
  <c r="DY202" i="1" s="1"/>
  <c r="EC202" i="1" s="1"/>
  <c r="CO223" i="1"/>
  <c r="CW205" i="1"/>
  <c r="EL209" i="1"/>
  <c r="M213" i="1"/>
  <c r="BF217" i="1"/>
  <c r="CT216" i="1"/>
  <c r="CV216" i="1" s="1"/>
  <c r="BS221" i="1"/>
  <c r="DT228" i="1"/>
  <c r="AG230" i="1"/>
  <c r="R234" i="1"/>
  <c r="X234" i="1" s="1"/>
  <c r="AD234" i="1" s="1"/>
  <c r="K240" i="1"/>
  <c r="P240" i="1"/>
  <c r="U240" i="1"/>
  <c r="AL240" i="1"/>
  <c r="BC240" i="1"/>
  <c r="CP240" i="1"/>
  <c r="CT247" i="1"/>
  <c r="CV247" i="1" s="1"/>
  <c r="DT253" i="1"/>
  <c r="CT250" i="1"/>
  <c r="CV250" i="1" s="1"/>
  <c r="CQ254" i="1"/>
  <c r="CS254" i="1" s="1"/>
  <c r="CK256" i="1"/>
  <c r="AY276" i="1"/>
  <c r="BD276" i="1" s="1"/>
  <c r="DA300" i="1"/>
  <c r="DE300" i="1" s="1"/>
  <c r="DI300" i="1" s="1"/>
  <c r="DM300" i="1" s="1"/>
  <c r="DQ300" i="1" s="1"/>
  <c r="DU300" i="1" s="1"/>
  <c r="DY300" i="1" s="1"/>
  <c r="EC300" i="1" s="1"/>
  <c r="CQ300" i="1"/>
  <c r="CS300" i="1" s="1"/>
  <c r="DI197" i="1"/>
  <c r="DM197" i="1" s="1"/>
  <c r="DQ197" i="1" s="1"/>
  <c r="DU197" i="1" s="1"/>
  <c r="DY197" i="1" s="1"/>
  <c r="EC197" i="1" s="1"/>
  <c r="BT205" i="1"/>
  <c r="DT205" i="1"/>
  <c r="DJ202" i="1"/>
  <c r="DN202" i="1" s="1"/>
  <c r="DR202" i="1" s="1"/>
  <c r="DV202" i="1" s="1"/>
  <c r="DZ202" i="1" s="1"/>
  <c r="ED202" i="1" s="1"/>
  <c r="BI223" i="1"/>
  <c r="BY223" i="1"/>
  <c r="CU206" i="1"/>
  <c r="BS213" i="1"/>
  <c r="DS213" i="1"/>
  <c r="DT213" i="1"/>
  <c r="R212" i="1"/>
  <c r="X212" i="1" s="1"/>
  <c r="AD212" i="1" s="1"/>
  <c r="AF213" i="1"/>
  <c r="EK217" i="1"/>
  <c r="M221" i="1"/>
  <c r="BG221" i="1"/>
  <c r="CG221" i="1"/>
  <c r="EK221" i="1"/>
  <c r="DA219" i="1"/>
  <c r="DE219" i="1" s="1"/>
  <c r="DI219" i="1" s="1"/>
  <c r="DM219" i="1" s="1"/>
  <c r="DQ219" i="1" s="1"/>
  <c r="DU219" i="1" s="1"/>
  <c r="DY219" i="1" s="1"/>
  <c r="BG228" i="1"/>
  <c r="CH228" i="1"/>
  <c r="CH240" i="1" s="1"/>
  <c r="BT228" i="1"/>
  <c r="DV229" i="1"/>
  <c r="DZ229" i="1" s="1"/>
  <c r="ED229" i="1" s="1"/>
  <c r="EV229" i="1" s="1"/>
  <c r="AB235" i="1"/>
  <c r="N240" i="1"/>
  <c r="CZ240" i="1"/>
  <c r="EF240" i="1"/>
  <c r="EQ240" i="1"/>
  <c r="BF248" i="1"/>
  <c r="V253" i="1"/>
  <c r="EK253" i="1"/>
  <c r="AJ254" i="1"/>
  <c r="CV255" i="1"/>
  <c r="AN258" i="1"/>
  <c r="AR258" i="1" s="1"/>
  <c r="AV258" i="1"/>
  <c r="DU264" i="1"/>
  <c r="DY264" i="1" s="1"/>
  <c r="EC264" i="1" s="1"/>
  <c r="AQ282" i="1"/>
  <c r="AY282" i="1" s="1"/>
  <c r="AR283" i="1"/>
  <c r="AZ283" i="1" s="1"/>
  <c r="DU293" i="1"/>
  <c r="DY293" i="1" s="1"/>
  <c r="EC293" i="1" s="1"/>
  <c r="EI293" i="1" s="1"/>
  <c r="EM293" i="1" s="1"/>
  <c r="R198" i="1"/>
  <c r="X198" i="1" s="1"/>
  <c r="AD198" i="1" s="1"/>
  <c r="AC198" i="1" s="1"/>
  <c r="R199" i="1"/>
  <c r="BF205" i="1"/>
  <c r="R201" i="1"/>
  <c r="X201" i="1" s="1"/>
  <c r="AD201" i="1" s="1"/>
  <c r="AC201" i="1" s="1"/>
  <c r="AS223" i="1"/>
  <c r="AF209" i="1"/>
  <c r="AB209" i="1"/>
  <c r="V213" i="1"/>
  <c r="X211" i="1"/>
  <c r="AD211" i="1" s="1"/>
  <c r="BT213" i="1"/>
  <c r="CV214" i="1"/>
  <c r="M217" i="1"/>
  <c r="BW221" i="1"/>
  <c r="AC225" i="1"/>
  <c r="BS228" i="1"/>
  <c r="R229" i="1"/>
  <c r="X229" i="1" s="1"/>
  <c r="AD229" i="1" s="1"/>
  <c r="DI230" i="1"/>
  <c r="DM230" i="1" s="1"/>
  <c r="DQ230" i="1" s="1"/>
  <c r="DU230" i="1" s="1"/>
  <c r="DY230" i="1" s="1"/>
  <c r="EC230" i="1" s="1"/>
  <c r="M235" i="1"/>
  <c r="CS233" i="1"/>
  <c r="CS235" i="1" s="1"/>
  <c r="CV234" i="1"/>
  <c r="BZ240" i="1"/>
  <c r="DC240" i="1"/>
  <c r="DO240" i="1"/>
  <c r="EA240" i="1"/>
  <c r="ER240" i="1"/>
  <c r="EX240" i="1"/>
  <c r="CG248" i="1"/>
  <c r="Q248" i="1"/>
  <c r="X246" i="1"/>
  <c r="AD246" i="1" s="1"/>
  <c r="CS246" i="1"/>
  <c r="CU246" i="1" s="1"/>
  <c r="X251" i="1"/>
  <c r="AD251" i="1" s="1"/>
  <c r="DD262" i="1"/>
  <c r="BX262" i="1"/>
  <c r="CB262" i="1"/>
  <c r="CF262" i="1"/>
  <c r="CP262" i="1"/>
  <c r="DP262" i="1"/>
  <c r="EB262" i="1"/>
  <c r="EP262" i="1"/>
  <c r="P262" i="1"/>
  <c r="AJ270" i="1"/>
  <c r="AH270" i="1"/>
  <c r="AR270" i="1" s="1"/>
  <c r="AY280" i="1"/>
  <c r="BA280" i="1" s="1"/>
  <c r="AY281" i="1"/>
  <c r="BL281" i="1" s="1"/>
  <c r="AY287" i="1"/>
  <c r="BL287" i="1" s="1"/>
  <c r="AC292" i="1"/>
  <c r="AG292" i="1"/>
  <c r="BF235" i="1"/>
  <c r="BF240" i="1" s="1"/>
  <c r="CG235" i="1"/>
  <c r="EK235" i="1"/>
  <c r="BG235" i="1"/>
  <c r="CU234" i="1"/>
  <c r="CW234" i="1" s="1"/>
  <c r="DA234" i="1" s="1"/>
  <c r="DE234" i="1" s="1"/>
  <c r="V238" i="1"/>
  <c r="AF238" i="1"/>
  <c r="AF240" i="1" s="1"/>
  <c r="BT238" i="1"/>
  <c r="CQ238" i="1"/>
  <c r="DT238" i="1"/>
  <c r="S240" i="1"/>
  <c r="AA240" i="1"/>
  <c r="AP240" i="1"/>
  <c r="AX240" i="1"/>
  <c r="BO240" i="1"/>
  <c r="BY240" i="1"/>
  <c r="CC240" i="1"/>
  <c r="EB240" i="1"/>
  <c r="EY240" i="1"/>
  <c r="CK248" i="1"/>
  <c r="CU243" i="1"/>
  <c r="CW243" i="1" s="1"/>
  <c r="DA243" i="1" s="1"/>
  <c r="DE243" i="1" s="1"/>
  <c r="X244" i="1"/>
  <c r="AD244" i="1" s="1"/>
  <c r="CH253" i="1"/>
  <c r="BG253" i="1"/>
  <c r="AX262" i="1"/>
  <c r="BT256" i="1"/>
  <c r="R255" i="1"/>
  <c r="BV262" i="1"/>
  <c r="BZ262" i="1"/>
  <c r="CD262" i="1"/>
  <c r="CN262" i="1"/>
  <c r="CZ262" i="1"/>
  <c r="BG260" i="1"/>
  <c r="BG262" i="1" s="1"/>
  <c r="CH260" i="1"/>
  <c r="EF262" i="1"/>
  <c r="AF265" i="1"/>
  <c r="AV264" i="1"/>
  <c r="AZ264" i="1" s="1"/>
  <c r="CT264" i="1"/>
  <c r="CV264" i="1" s="1"/>
  <c r="CR271" i="1"/>
  <c r="DJ276" i="1"/>
  <c r="DN276" i="1" s="1"/>
  <c r="DR276" i="1" s="1"/>
  <c r="AZ279" i="1"/>
  <c r="DJ280" i="1"/>
  <c r="DN280" i="1" s="1"/>
  <c r="DR280" i="1" s="1"/>
  <c r="DV280" i="1" s="1"/>
  <c r="DZ280" i="1" s="1"/>
  <c r="ED280" i="1" s="1"/>
  <c r="DJ287" i="1"/>
  <c r="AE289" i="1"/>
  <c r="Y290" i="1"/>
  <c r="X296" i="1"/>
  <c r="AD296" i="1" s="1"/>
  <c r="AC296" i="1" s="1"/>
  <c r="AR306" i="1"/>
  <c r="AZ306" i="1" s="1"/>
  <c r="W238" i="1"/>
  <c r="CS236" i="1"/>
  <c r="CU236" i="1" s="1"/>
  <c r="J240" i="1"/>
  <c r="O240" i="1"/>
  <c r="BB240" i="1"/>
  <c r="BI240" i="1"/>
  <c r="CD240" i="1"/>
  <c r="CI240" i="1"/>
  <c r="CM240" i="1"/>
  <c r="CY240" i="1"/>
  <c r="DK240" i="1"/>
  <c r="DW240" i="1"/>
  <c r="EE240" i="1"/>
  <c r="EP240" i="1"/>
  <c r="ET240" i="1"/>
  <c r="EZ240" i="1"/>
  <c r="BT248" i="1"/>
  <c r="EL248" i="1"/>
  <c r="CQ242" i="1"/>
  <c r="DA244" i="1"/>
  <c r="DE244" i="1" s="1"/>
  <c r="DI244" i="1" s="1"/>
  <c r="DM244" i="1" s="1"/>
  <c r="DQ244" i="1" s="1"/>
  <c r="DU244" i="1" s="1"/>
  <c r="DY244" i="1" s="1"/>
  <c r="EC244" i="1" s="1"/>
  <c r="CU247" i="1"/>
  <c r="DG247" i="1" s="1"/>
  <c r="R250" i="1"/>
  <c r="X250" i="1" s="1"/>
  <c r="AD250" i="1" s="1"/>
  <c r="AM250" i="1" s="1"/>
  <c r="BS253" i="1"/>
  <c r="BF253" i="1"/>
  <c r="CJ262" i="1"/>
  <c r="DT256" i="1"/>
  <c r="T262" i="1"/>
  <c r="AO262" i="1"/>
  <c r="AW262" i="1"/>
  <c r="BS260" i="1"/>
  <c r="BW262" i="1"/>
  <c r="CA262" i="1"/>
  <c r="CG265" i="1"/>
  <c r="CK269" i="1"/>
  <c r="DJ270" i="1"/>
  <c r="DN270" i="1" s="1"/>
  <c r="DR270" i="1" s="1"/>
  <c r="DV270" i="1" s="1"/>
  <c r="DZ270" i="1" s="1"/>
  <c r="ED270" i="1" s="1"/>
  <c r="BF288" i="1"/>
  <c r="AR304" i="1"/>
  <c r="AZ304" i="1" s="1"/>
  <c r="DJ301" i="1"/>
  <c r="DN301" i="1" s="1"/>
  <c r="ED301" i="1" s="1"/>
  <c r="AQ303" i="1"/>
  <c r="AY303" i="1" s="1"/>
  <c r="DI303" i="1"/>
  <c r="DM303" i="1" s="1"/>
  <c r="DQ303" i="1" s="1"/>
  <c r="DU303" i="1" s="1"/>
  <c r="DY303" i="1" s="1"/>
  <c r="EC303" i="1" s="1"/>
  <c r="EG303" i="1" s="1"/>
  <c r="AQ305" i="1"/>
  <c r="AY305" i="1" s="1"/>
  <c r="DI305" i="1"/>
  <c r="DM305" i="1" s="1"/>
  <c r="DQ305" i="1" s="1"/>
  <c r="DU305" i="1" s="1"/>
  <c r="DY305" i="1" s="1"/>
  <c r="EC305" i="1" s="1"/>
  <c r="AQ307" i="1"/>
  <c r="CE262" i="1"/>
  <c r="DC262" i="1"/>
  <c r="ES262" i="1"/>
  <c r="BG265" i="1"/>
  <c r="R266" i="1"/>
  <c r="X266" i="1" s="1"/>
  <c r="AQ288" i="1"/>
  <c r="EL288" i="1"/>
  <c r="DJ275" i="1"/>
  <c r="DN275" i="1" s="1"/>
  <c r="DR275" i="1" s="1"/>
  <c r="DV275" i="1" s="1"/>
  <c r="DZ275" i="1" s="1"/>
  <c r="ED275" i="1" s="1"/>
  <c r="EH275" i="1" s="1"/>
  <c r="AB290" i="1"/>
  <c r="CU291" i="1"/>
  <c r="DG291" i="1" s="1"/>
  <c r="CV292" i="1"/>
  <c r="R293" i="1"/>
  <c r="X293" i="1" s="1"/>
  <c r="AD293" i="1" s="1"/>
  <c r="R294" i="1"/>
  <c r="X294" i="1" s="1"/>
  <c r="AD294" i="1" s="1"/>
  <c r="R298" i="1"/>
  <c r="X298" i="1" s="1"/>
  <c r="AD298" i="1" s="1"/>
  <c r="AG298" i="1" s="1"/>
  <c r="DJ299" i="1"/>
  <c r="DN299" i="1" s="1"/>
  <c r="DR299" i="1" s="1"/>
  <c r="DI302" i="1"/>
  <c r="DM302" i="1" s="1"/>
  <c r="DQ302" i="1" s="1"/>
  <c r="DU302" i="1" s="1"/>
  <c r="DY302" i="1" s="1"/>
  <c r="EC302" i="1" s="1"/>
  <c r="AR303" i="1"/>
  <c r="AZ303" i="1" s="1"/>
  <c r="BM303" i="1" s="1"/>
  <c r="BR303" i="1" s="1"/>
  <c r="BV303" i="1" s="1"/>
  <c r="DJ303" i="1"/>
  <c r="DN303" i="1" s="1"/>
  <c r="DR303" i="1" s="1"/>
  <c r="DV303" i="1" s="1"/>
  <c r="DZ303" i="1" s="1"/>
  <c r="ED303" i="1" s="1"/>
  <c r="AR305" i="1"/>
  <c r="AZ305" i="1" s="1"/>
  <c r="DJ305" i="1"/>
  <c r="DN305" i="1" s="1"/>
  <c r="DR305" i="1" s="1"/>
  <c r="DV305" i="1" s="1"/>
  <c r="DZ305" i="1" s="1"/>
  <c r="ED305" i="1" s="1"/>
  <c r="AR309" i="1"/>
  <c r="BP262" i="1"/>
  <c r="CV261" i="1"/>
  <c r="DH261" i="1" s="1"/>
  <c r="CS264" i="1"/>
  <c r="CU264" i="1" s="1"/>
  <c r="CW264" i="1" s="1"/>
  <c r="W265" i="1"/>
  <c r="BG271" i="1"/>
  <c r="AF269" i="1"/>
  <c r="AF271" i="1" s="1"/>
  <c r="AU288" i="1"/>
  <c r="DI274" i="1"/>
  <c r="DM274" i="1" s="1"/>
  <c r="DQ274" i="1" s="1"/>
  <c r="DU274" i="1" s="1"/>
  <c r="DY274" i="1" s="1"/>
  <c r="EC274" i="1" s="1"/>
  <c r="DJ278" i="1"/>
  <c r="DN278" i="1" s="1"/>
  <c r="DR278" i="1" s="1"/>
  <c r="DI281" i="1"/>
  <c r="DM281" i="1" s="1"/>
  <c r="DQ281" i="1" s="1"/>
  <c r="DI282" i="1"/>
  <c r="DM282" i="1" s="1"/>
  <c r="DQ282" i="1" s="1"/>
  <c r="DU282" i="1" s="1"/>
  <c r="DY282" i="1" s="1"/>
  <c r="EC282" i="1" s="1"/>
  <c r="EG282" i="1" s="1"/>
  <c r="DJ284" i="1"/>
  <c r="DN284" i="1" s="1"/>
  <c r="DR284" i="1" s="1"/>
  <c r="DV284" i="1" s="1"/>
  <c r="DZ284" i="1" s="1"/>
  <c r="ED284" i="1" s="1"/>
  <c r="AY285" i="1"/>
  <c r="AM288" i="1"/>
  <c r="DJ293" i="1"/>
  <c r="DN293" i="1" s="1"/>
  <c r="DR293" i="1" s="1"/>
  <c r="DV293" i="1" s="1"/>
  <c r="DZ293" i="1" s="1"/>
  <c r="ED293" i="1" s="1"/>
  <c r="EH293" i="1" s="1"/>
  <c r="R297" i="1"/>
  <c r="X297" i="1" s="1"/>
  <c r="AD297" i="1" s="1"/>
  <c r="CV297" i="1"/>
  <c r="R300" i="1"/>
  <c r="X300" i="1" s="1"/>
  <c r="AD300" i="1" s="1"/>
  <c r="AU300" i="1" s="1"/>
  <c r="DJ302" i="1"/>
  <c r="DN302" i="1" s="1"/>
  <c r="AY304" i="1"/>
  <c r="BD304" i="1" s="1"/>
  <c r="AY306" i="1"/>
  <c r="BL306" i="1" s="1"/>
  <c r="AF308" i="1"/>
  <c r="BT308" i="1"/>
  <c r="CR308" i="1"/>
  <c r="EL308" i="1"/>
  <c r="AN5" i="1"/>
  <c r="AE7" i="1"/>
  <c r="AJ5" i="1"/>
  <c r="AV5" i="1"/>
  <c r="AH5" i="1"/>
  <c r="AM6" i="1"/>
  <c r="AG6" i="1"/>
  <c r="EU6" i="1"/>
  <c r="EG6" i="1"/>
  <c r="EI6" i="1"/>
  <c r="EM6" i="1" s="1"/>
  <c r="AV6" i="1"/>
  <c r="AN6" i="1"/>
  <c r="AJ6" i="1"/>
  <c r="AH6" i="1"/>
  <c r="DB10" i="1"/>
  <c r="DF8" i="1"/>
  <c r="DF10" i="1" s="1"/>
  <c r="CS8" i="1"/>
  <c r="CS10" i="1" s="1"/>
  <c r="CQ10" i="1"/>
  <c r="EU9" i="1"/>
  <c r="W13" i="1"/>
  <c r="Y12" i="1"/>
  <c r="AE12" i="1" s="1"/>
  <c r="EC18" i="1"/>
  <c r="AV20" i="1"/>
  <c r="AN20" i="1"/>
  <c r="AR20" i="1" s="1"/>
  <c r="AH20" i="1"/>
  <c r="AJ20" i="1"/>
  <c r="EC28" i="1"/>
  <c r="DQ28" i="1"/>
  <c r="BA31" i="1"/>
  <c r="BL31" i="1"/>
  <c r="BD31" i="1"/>
  <c r="BS33" i="1"/>
  <c r="CQ36" i="1"/>
  <c r="CS34" i="1"/>
  <c r="CS36" i="1" s="1"/>
  <c r="DB37" i="1"/>
  <c r="CX39" i="1"/>
  <c r="AV40" i="1"/>
  <c r="AN40" i="1"/>
  <c r="AH40" i="1"/>
  <c r="AJ40" i="1"/>
  <c r="DE40" i="1"/>
  <c r="AI42" i="1"/>
  <c r="AU42" i="1"/>
  <c r="AM42" i="1"/>
  <c r="AC42" i="1"/>
  <c r="AV44" i="1"/>
  <c r="AN44" i="1"/>
  <c r="AR44" i="1" s="1"/>
  <c r="AH44" i="1"/>
  <c r="AJ44" i="1"/>
  <c r="BN48" i="1"/>
  <c r="BQ48" i="1"/>
  <c r="AJ51" i="1"/>
  <c r="AV51" i="1"/>
  <c r="AN51" i="1"/>
  <c r="AH51" i="1"/>
  <c r="EU51" i="1"/>
  <c r="EG51" i="1"/>
  <c r="EI51" i="1"/>
  <c r="EM51" i="1" s="1"/>
  <c r="DH54" i="1"/>
  <c r="R59" i="1"/>
  <c r="X57" i="1"/>
  <c r="CW57" i="1"/>
  <c r="CW58" i="1"/>
  <c r="DA58" i="1" s="1"/>
  <c r="DE58" i="1" s="1"/>
  <c r="DG58" i="1"/>
  <c r="AV64" i="1"/>
  <c r="AN64" i="1"/>
  <c r="AH64" i="1"/>
  <c r="AJ64" i="1"/>
  <c r="AV66" i="1"/>
  <c r="AN66" i="1"/>
  <c r="AH66" i="1"/>
  <c r="AJ66" i="1"/>
  <c r="DE66" i="1"/>
  <c r="DB5" i="1"/>
  <c r="X5" i="1"/>
  <c r="AF7" i="1"/>
  <c r="BT7" i="1"/>
  <c r="CR5" i="1"/>
  <c r="X8" i="1"/>
  <c r="DJ9" i="1"/>
  <c r="DN9" i="1" s="1"/>
  <c r="DR9" i="1" s="1"/>
  <c r="DV9" i="1" s="1"/>
  <c r="DZ9" i="1" s="1"/>
  <c r="CT16" i="1"/>
  <c r="CS24" i="1"/>
  <c r="CS26" i="1" s="1"/>
  <c r="DG24" i="1"/>
  <c r="DG26" i="1" s="1"/>
  <c r="DI21" i="1"/>
  <c r="DM21" i="1" s="1"/>
  <c r="DQ21" i="1" s="1"/>
  <c r="DU21" i="1" s="1"/>
  <c r="DY21" i="1" s="1"/>
  <c r="EC21" i="1" s="1"/>
  <c r="DJ22" i="1"/>
  <c r="DN22" i="1" s="1"/>
  <c r="DR22" i="1" s="1"/>
  <c r="DV22" i="1" s="1"/>
  <c r="DZ22" i="1" s="1"/>
  <c r="ED22" i="1" s="1"/>
  <c r="DI32" i="1"/>
  <c r="DM32" i="1" s="1"/>
  <c r="DQ32" i="1" s="1"/>
  <c r="DJ38" i="1"/>
  <c r="DN38" i="1" s="1"/>
  <c r="DR38" i="1" s="1"/>
  <c r="DV38" i="1" s="1"/>
  <c r="DZ38" i="1" s="1"/>
  <c r="DI41" i="1"/>
  <c r="DM41" i="1" s="1"/>
  <c r="DQ41" i="1" s="1"/>
  <c r="DI42" i="1"/>
  <c r="DM42" i="1" s="1"/>
  <c r="DQ42" i="1" s="1"/>
  <c r="DV47" i="1"/>
  <c r="DZ47" i="1" s="1"/>
  <c r="ED47" i="1" s="1"/>
  <c r="DJ51" i="1"/>
  <c r="DN51" i="1" s="1"/>
  <c r="DR51" i="1" s="1"/>
  <c r="DV51" i="1" s="1"/>
  <c r="DZ51" i="1" s="1"/>
  <c r="DH10" i="1"/>
  <c r="AJ9" i="1"/>
  <c r="AV9" i="1"/>
  <c r="AN9" i="1"/>
  <c r="AH9" i="1"/>
  <c r="EL10" i="1"/>
  <c r="Q13" i="1"/>
  <c r="R11" i="1"/>
  <c r="DG13" i="1"/>
  <c r="DZ13" i="1"/>
  <c r="ED12" i="1"/>
  <c r="AC18" i="1"/>
  <c r="AJ19" i="1"/>
  <c r="AV19" i="1"/>
  <c r="AN19" i="1"/>
  <c r="AH19" i="1"/>
  <c r="AU22" i="1"/>
  <c r="AM22" i="1"/>
  <c r="AC22" i="1"/>
  <c r="AI22" i="1"/>
  <c r="AU28" i="1"/>
  <c r="BA32" i="1"/>
  <c r="BL32" i="1"/>
  <c r="BD32" i="1"/>
  <c r="DS36" i="1"/>
  <c r="AV42" i="1"/>
  <c r="AN42" i="1"/>
  <c r="AH42" i="1"/>
  <c r="AJ42" i="1"/>
  <c r="AU45" i="1"/>
  <c r="AG45" i="1"/>
  <c r="AC45" i="1"/>
  <c r="CW54" i="1"/>
  <c r="DG54" i="1"/>
  <c r="BN55" i="1"/>
  <c r="BQ55" i="1"/>
  <c r="BU55" i="1" s="1"/>
  <c r="AV58" i="1"/>
  <c r="AN58" i="1"/>
  <c r="AH58" i="1"/>
  <c r="AJ58" i="1"/>
  <c r="Y65" i="1"/>
  <c r="AE63" i="1"/>
  <c r="CQ5" i="1"/>
  <c r="BT10" i="1"/>
  <c r="DV19" i="1"/>
  <c r="DZ19" i="1" s="1"/>
  <c r="ED19" i="1" s="1"/>
  <c r="DI20" i="1"/>
  <c r="DM20" i="1" s="1"/>
  <c r="DQ20" i="1" s="1"/>
  <c r="DU20" i="1" s="1"/>
  <c r="DY20" i="1" s="1"/>
  <c r="EC20" i="1" s="1"/>
  <c r="DI22" i="1"/>
  <c r="DM22" i="1" s="1"/>
  <c r="DQ22" i="1" s="1"/>
  <c r="DU22" i="1" s="1"/>
  <c r="DY22" i="1" s="1"/>
  <c r="EC22" i="1" s="1"/>
  <c r="DF29" i="1"/>
  <c r="Y33" i="1"/>
  <c r="DU32" i="1"/>
  <c r="DY32" i="1" s="1"/>
  <c r="EC32" i="1" s="1"/>
  <c r="DI38" i="1"/>
  <c r="DM38" i="1" s="1"/>
  <c r="DQ38" i="1" s="1"/>
  <c r="DV41" i="1"/>
  <c r="DZ41" i="1" s="1"/>
  <c r="ED41" i="1" s="1"/>
  <c r="DV42" i="1"/>
  <c r="DZ42" i="1" s="1"/>
  <c r="ED42" i="1" s="1"/>
  <c r="DI44" i="1"/>
  <c r="DM44" i="1" s="1"/>
  <c r="DQ44" i="1" s="1"/>
  <c r="BV48" i="1"/>
  <c r="BV49" i="1" s="1"/>
  <c r="CT68" i="1"/>
  <c r="DT10" i="1"/>
  <c r="CT11" i="1"/>
  <c r="CT13" i="1" s="1"/>
  <c r="CR13" i="1"/>
  <c r="DA13" i="1"/>
  <c r="DE11" i="1"/>
  <c r="DE13" i="1" s="1"/>
  <c r="DS13" i="1"/>
  <c r="AU12" i="1"/>
  <c r="AI12" i="1"/>
  <c r="DY13" i="1"/>
  <c r="EC12" i="1"/>
  <c r="R16" i="1"/>
  <c r="X14" i="1"/>
  <c r="AU15" i="1"/>
  <c r="AM15" i="1"/>
  <c r="AG15" i="1"/>
  <c r="AC15" i="1"/>
  <c r="CT17" i="1"/>
  <c r="CT24" i="1" s="1"/>
  <c r="CT26" i="1" s="1"/>
  <c r="CR24" i="1"/>
  <c r="CR26" i="1" s="1"/>
  <c r="AU21" i="1"/>
  <c r="AG21" i="1"/>
  <c r="AC21" i="1"/>
  <c r="AI21" i="1"/>
  <c r="EJ21" i="1"/>
  <c r="EN21" i="1" s="1"/>
  <c r="EV21" i="1"/>
  <c r="EH21" i="1"/>
  <c r="AV22" i="1"/>
  <c r="AN22" i="1"/>
  <c r="AH22" i="1"/>
  <c r="AJ22" i="1"/>
  <c r="AJ23" i="1"/>
  <c r="AV23" i="1"/>
  <c r="AN23" i="1"/>
  <c r="AH23" i="1"/>
  <c r="EV23" i="1"/>
  <c r="EH23" i="1"/>
  <c r="EJ23" i="1"/>
  <c r="EN23" i="1" s="1"/>
  <c r="BL25" i="1"/>
  <c r="BD25" i="1"/>
  <c r="AV34" i="1"/>
  <c r="AN34" i="1"/>
  <c r="AH34" i="1"/>
  <c r="AJ34" i="1"/>
  <c r="AG35" i="1"/>
  <c r="AI35" i="1"/>
  <c r="AV38" i="1"/>
  <c r="AN38" i="1"/>
  <c r="AH38" i="1"/>
  <c r="AJ38" i="1"/>
  <c r="AN45" i="1"/>
  <c r="AH45" i="1"/>
  <c r="AJ45" i="1"/>
  <c r="EJ48" i="1"/>
  <c r="EN48" i="1" s="1"/>
  <c r="EV48" i="1"/>
  <c r="EH48" i="1"/>
  <c r="AV54" i="1"/>
  <c r="AN54" i="1"/>
  <c r="AH54" i="1"/>
  <c r="AJ54" i="1"/>
  <c r="AU67" i="1"/>
  <c r="AM67" i="1"/>
  <c r="AG67" i="1"/>
  <c r="AC67" i="1"/>
  <c r="AI67" i="1"/>
  <c r="AC12" i="1"/>
  <c r="DU28" i="1"/>
  <c r="DU41" i="1"/>
  <c r="DY41" i="1" s="1"/>
  <c r="EC41" i="1" s="1"/>
  <c r="DU42" i="1"/>
  <c r="DY42" i="1" s="1"/>
  <c r="EC42" i="1" s="1"/>
  <c r="BU48" i="1"/>
  <c r="BS9" i="1"/>
  <c r="BS10" i="1" s="1"/>
  <c r="BO10" i="1"/>
  <c r="CK13" i="1"/>
  <c r="CQ11" i="1"/>
  <c r="AE14" i="1"/>
  <c r="EJ15" i="1"/>
  <c r="EN15" i="1" s="1"/>
  <c r="EV15" i="1"/>
  <c r="EH15" i="1"/>
  <c r="Y24" i="1"/>
  <c r="Y26" i="1" s="1"/>
  <c r="AE17" i="1"/>
  <c r="AJ18" i="1"/>
  <c r="AV18" i="1"/>
  <c r="AN18" i="1"/>
  <c r="AH18" i="1"/>
  <c r="ED18" i="1"/>
  <c r="AU19" i="1"/>
  <c r="AM19" i="1"/>
  <c r="AQ19" i="1" s="1"/>
  <c r="AG19" i="1"/>
  <c r="AC19" i="1"/>
  <c r="AI19" i="1"/>
  <c r="AU20" i="1"/>
  <c r="AM20" i="1"/>
  <c r="AG20" i="1"/>
  <c r="AC20" i="1"/>
  <c r="AI20" i="1"/>
  <c r="EJ20" i="1"/>
  <c r="EN20" i="1" s="1"/>
  <c r="EV20" i="1"/>
  <c r="EH20" i="1"/>
  <c r="AV21" i="1"/>
  <c r="AN21" i="1"/>
  <c r="AH21" i="1"/>
  <c r="AJ21" i="1"/>
  <c r="EI23" i="1"/>
  <c r="EM23" i="1" s="1"/>
  <c r="EU23" i="1"/>
  <c r="EG23" i="1"/>
  <c r="AJ25" i="1"/>
  <c r="AV25" i="1"/>
  <c r="AN25" i="1"/>
  <c r="AH25" i="1"/>
  <c r="EV25" i="1"/>
  <c r="EH25" i="1"/>
  <c r="EJ25" i="1"/>
  <c r="EN25" i="1" s="1"/>
  <c r="AJ28" i="1"/>
  <c r="AV28" i="1"/>
  <c r="AN28" i="1"/>
  <c r="AH28" i="1"/>
  <c r="AN33" i="1"/>
  <c r="EJ32" i="1"/>
  <c r="EN32" i="1" s="1"/>
  <c r="EV32" i="1"/>
  <c r="AD40" i="1"/>
  <c r="X43" i="1"/>
  <c r="AI41" i="1"/>
  <c r="AU41" i="1"/>
  <c r="AM41" i="1"/>
  <c r="AG41" i="1"/>
  <c r="AC41" i="1"/>
  <c r="AI44" i="1"/>
  <c r="AM44" i="1"/>
  <c r="AG44" i="1"/>
  <c r="AC44" i="1"/>
  <c r="EI45" i="1"/>
  <c r="EM45" i="1" s="1"/>
  <c r="EU45" i="1"/>
  <c r="EG45" i="1"/>
  <c r="BL47" i="1"/>
  <c r="BD47" i="1"/>
  <c r="BA47" i="1"/>
  <c r="CR52" i="1"/>
  <c r="CT50" i="1"/>
  <c r="CT52" i="1" s="1"/>
  <c r="AI51" i="1"/>
  <c r="AU51" i="1"/>
  <c r="AM51" i="1"/>
  <c r="AG51" i="1"/>
  <c r="AC51" i="1"/>
  <c r="CS61" i="1"/>
  <c r="CU61" i="1" s="1"/>
  <c r="AI64" i="1"/>
  <c r="AU64" i="1"/>
  <c r="AM64" i="1"/>
  <c r="AG64" i="1"/>
  <c r="AC64" i="1"/>
  <c r="AD66" i="1"/>
  <c r="X68" i="1"/>
  <c r="Y71" i="1"/>
  <c r="AE69" i="1"/>
  <c r="Y7" i="1"/>
  <c r="DA5" i="1"/>
  <c r="AU9" i="1"/>
  <c r="AM12" i="1"/>
  <c r="AQ12" i="1" s="1"/>
  <c r="BV31" i="1"/>
  <c r="BV33" i="1" s="1"/>
  <c r="DU38" i="1"/>
  <c r="DY38" i="1" s="1"/>
  <c r="EC38" i="1" s="1"/>
  <c r="DU44" i="1"/>
  <c r="DY44" i="1" s="1"/>
  <c r="EC44" i="1" s="1"/>
  <c r="BV61" i="1"/>
  <c r="BV62" i="1" s="1"/>
  <c r="BA74" i="1"/>
  <c r="BL74" i="1"/>
  <c r="BD74" i="1"/>
  <c r="EU78" i="1"/>
  <c r="Y82" i="1"/>
  <c r="AE80" i="1"/>
  <c r="AU86" i="1"/>
  <c r="AG86" i="1"/>
  <c r="AC86" i="1"/>
  <c r="AI92" i="1"/>
  <c r="AU92" i="1"/>
  <c r="AG92" i="1"/>
  <c r="AC92" i="1"/>
  <c r="AM92" i="1"/>
  <c r="EU114" i="1"/>
  <c r="EG114" i="1"/>
  <c r="EI114" i="1"/>
  <c r="EM114" i="1" s="1"/>
  <c r="EV127" i="1"/>
  <c r="EJ145" i="1"/>
  <c r="EN145" i="1" s="1"/>
  <c r="DH13" i="1"/>
  <c r="DT13" i="1"/>
  <c r="CS14" i="1"/>
  <c r="DA14" i="1"/>
  <c r="Y15" i="1"/>
  <c r="AE15" i="1" s="1"/>
  <c r="M16" i="1"/>
  <c r="DE17" i="1"/>
  <c r="DH24" i="1"/>
  <c r="DH26" i="1" s="1"/>
  <c r="DT24" i="1"/>
  <c r="DT26" i="1" s="1"/>
  <c r="EW24" i="1"/>
  <c r="R27" i="1"/>
  <c r="Y27" i="1"/>
  <c r="DE27" i="1"/>
  <c r="DE29" i="1" s="1"/>
  <c r="DJ28" i="1"/>
  <c r="DN28" i="1" s="1"/>
  <c r="DR28" i="1" s="1"/>
  <c r="DV28" i="1" s="1"/>
  <c r="DZ28" i="1" s="1"/>
  <c r="DB29" i="1"/>
  <c r="CR30" i="1"/>
  <c r="BE31" i="1"/>
  <c r="CQ32" i="1"/>
  <c r="CS32" i="1" s="1"/>
  <c r="CS33" i="1" s="1"/>
  <c r="Y35" i="1"/>
  <c r="AE35" i="1" s="1"/>
  <c r="DG35" i="1"/>
  <c r="DI35" i="1" s="1"/>
  <c r="DM35" i="1" s="1"/>
  <c r="DQ35" i="1" s="1"/>
  <c r="DU35" i="1" s="1"/>
  <c r="DY35" i="1" s="1"/>
  <c r="EC35" i="1" s="1"/>
  <c r="DV35" i="1"/>
  <c r="DZ35" i="1" s="1"/>
  <c r="ED35" i="1" s="1"/>
  <c r="CK36" i="1"/>
  <c r="EW36" i="1"/>
  <c r="AQ37" i="1"/>
  <c r="CP39" i="1"/>
  <c r="EL39" i="1"/>
  <c r="CQ41" i="1"/>
  <c r="CS41" i="1" s="1"/>
  <c r="R43" i="1"/>
  <c r="R46" i="1"/>
  <c r="Y46" i="1"/>
  <c r="CS46" i="1"/>
  <c r="CU46" i="1" s="1"/>
  <c r="AB47" i="1"/>
  <c r="AB49" i="1" s="1"/>
  <c r="BF47" i="1"/>
  <c r="BF49" i="1" s="1"/>
  <c r="CG47" i="1"/>
  <c r="CG49" i="1" s="1"/>
  <c r="CS47" i="1"/>
  <c r="CU47" i="1" s="1"/>
  <c r="BA48" i="1"/>
  <c r="DE50" i="1"/>
  <c r="DE52" i="1" s="1"/>
  <c r="DQ53" i="1"/>
  <c r="DU53" i="1" s="1"/>
  <c r="BA55" i="1"/>
  <c r="DT56" i="1"/>
  <c r="DB57" i="1"/>
  <c r="Q59" i="1"/>
  <c r="CS60" i="1"/>
  <c r="DF60" i="1"/>
  <c r="AQ61" i="1"/>
  <c r="AY61" i="1" s="1"/>
  <c r="DB61" i="1"/>
  <c r="DF61" i="1" s="1"/>
  <c r="DJ61" i="1" s="1"/>
  <c r="DN61" i="1" s="1"/>
  <c r="DR61" i="1" s="1"/>
  <c r="DV61" i="1" s="1"/>
  <c r="DZ61" i="1" s="1"/>
  <c r="ED61" i="1" s="1"/>
  <c r="CS63" i="1"/>
  <c r="CU63" i="1" s="1"/>
  <c r="CQ64" i="1"/>
  <c r="CQ65" i="1" s="1"/>
  <c r="CR65" i="1"/>
  <c r="DT65" i="1"/>
  <c r="DF66" i="1"/>
  <c r="DJ66" i="1" s="1"/>
  <c r="Y67" i="1"/>
  <c r="AE67" i="1" s="1"/>
  <c r="AE68" i="1" s="1"/>
  <c r="CS67" i="1"/>
  <c r="CU67" i="1" s="1"/>
  <c r="DS67" i="1"/>
  <c r="DS68" i="1" s="1"/>
  <c r="R68" i="1"/>
  <c r="Q71" i="1"/>
  <c r="CS69" i="1"/>
  <c r="CS71" i="1" s="1"/>
  <c r="AH70" i="1"/>
  <c r="AR70" i="1" s="1"/>
  <c r="AB71" i="1"/>
  <c r="DI77" i="1"/>
  <c r="DM77" i="1" s="1"/>
  <c r="DQ77" i="1" s="1"/>
  <c r="DJ78" i="1"/>
  <c r="DN78" i="1" s="1"/>
  <c r="DR78" i="1" s="1"/>
  <c r="DV78" i="1" s="1"/>
  <c r="DZ78" i="1" s="1"/>
  <c r="ED78" i="1" s="1"/>
  <c r="K89" i="1"/>
  <c r="P89" i="1"/>
  <c r="AO89" i="1"/>
  <c r="AW89" i="1"/>
  <c r="BH89" i="1"/>
  <c r="BY89" i="1"/>
  <c r="CC89" i="1"/>
  <c r="CI89" i="1"/>
  <c r="CN89" i="1"/>
  <c r="CZ89" i="1"/>
  <c r="DL89" i="1"/>
  <c r="DX89" i="1"/>
  <c r="EF89" i="1"/>
  <c r="ER89" i="1"/>
  <c r="EX89" i="1"/>
  <c r="FC89" i="1"/>
  <c r="CR75" i="1"/>
  <c r="CT72" i="1"/>
  <c r="CT75" i="1" s="1"/>
  <c r="EV74" i="1"/>
  <c r="EH74" i="1"/>
  <c r="EJ74" i="1"/>
  <c r="EN74" i="1" s="1"/>
  <c r="EU74" i="1"/>
  <c r="EG74" i="1"/>
  <c r="EI74" i="1"/>
  <c r="R79" i="1"/>
  <c r="X76" i="1"/>
  <c r="AI77" i="1"/>
  <c r="AU77" i="1"/>
  <c r="AM77" i="1"/>
  <c r="AG77" i="1"/>
  <c r="AC77" i="1"/>
  <c r="AI78" i="1"/>
  <c r="AU78" i="1"/>
  <c r="AM78" i="1"/>
  <c r="AG78" i="1"/>
  <c r="AC78" i="1"/>
  <c r="AV81" i="1"/>
  <c r="AN81" i="1"/>
  <c r="AH81" i="1"/>
  <c r="AJ81" i="1"/>
  <c r="AV86" i="1"/>
  <c r="AN86" i="1"/>
  <c r="AH86" i="1"/>
  <c r="AJ86" i="1"/>
  <c r="AJ87" i="1"/>
  <c r="AV87" i="1"/>
  <c r="AN87" i="1"/>
  <c r="AH87" i="1"/>
  <c r="EI87" i="1"/>
  <c r="EM87" i="1" s="1"/>
  <c r="EU87" i="1"/>
  <c r="EG87" i="1"/>
  <c r="DE88" i="1"/>
  <c r="AJ90" i="1"/>
  <c r="AH90" i="1"/>
  <c r="AV90" i="1"/>
  <c r="AN90" i="1"/>
  <c r="DZ93" i="1"/>
  <c r="ED92" i="1"/>
  <c r="EV116" i="1"/>
  <c r="EH116" i="1"/>
  <c r="EJ116" i="1"/>
  <c r="EN116" i="1" s="1"/>
  <c r="AI128" i="1"/>
  <c r="AU128" i="1"/>
  <c r="AM128" i="1"/>
  <c r="AG128" i="1"/>
  <c r="AC128" i="1"/>
  <c r="EU136" i="1"/>
  <c r="EG136" i="1"/>
  <c r="EI136" i="1"/>
  <c r="EM136" i="1" s="1"/>
  <c r="AE11" i="1"/>
  <c r="DB11" i="1"/>
  <c r="BS13" i="1"/>
  <c r="CR16" i="1"/>
  <c r="DB17" i="1"/>
  <c r="CW19" i="1"/>
  <c r="DA19" i="1" s="1"/>
  <c r="DE19" i="1" s="1"/>
  <c r="DI19" i="1" s="1"/>
  <c r="DM19" i="1" s="1"/>
  <c r="DQ19" i="1" s="1"/>
  <c r="DU19" i="1" s="1"/>
  <c r="DY19" i="1" s="1"/>
  <c r="W24" i="1"/>
  <c r="W26" i="1" s="1"/>
  <c r="CU24" i="1"/>
  <c r="CU26" i="1" s="1"/>
  <c r="CW29" i="1"/>
  <c r="R30" i="1"/>
  <c r="AJ30" i="1"/>
  <c r="AJ33" i="1" s="1"/>
  <c r="AE33" i="1"/>
  <c r="BO33" i="1"/>
  <c r="DH37" i="1"/>
  <c r="M39" i="1"/>
  <c r="M43" i="1"/>
  <c r="CW43" i="1"/>
  <c r="DB44" i="1"/>
  <c r="DF44" i="1" s="1"/>
  <c r="DJ44" i="1" s="1"/>
  <c r="DN44" i="1" s="1"/>
  <c r="DR44" i="1" s="1"/>
  <c r="DV44" i="1" s="1"/>
  <c r="DZ44" i="1" s="1"/>
  <c r="ED44" i="1" s="1"/>
  <c r="DB45" i="1"/>
  <c r="DF45" i="1" s="1"/>
  <c r="DJ45" i="1" s="1"/>
  <c r="DN45" i="1" s="1"/>
  <c r="DR45" i="1" s="1"/>
  <c r="DV45" i="1" s="1"/>
  <c r="DZ45" i="1" s="1"/>
  <c r="ED45" i="1" s="1"/>
  <c r="BE47" i="1"/>
  <c r="EW49" i="1"/>
  <c r="R50" i="1"/>
  <c r="AE50" i="1"/>
  <c r="DB50" i="1"/>
  <c r="CQ51" i="1"/>
  <c r="CS51" i="1" s="1"/>
  <c r="CS52" i="1" s="1"/>
  <c r="CL52" i="1"/>
  <c r="R53" i="1"/>
  <c r="AE53" i="1"/>
  <c r="BS56" i="1"/>
  <c r="R60" i="1"/>
  <c r="AE60" i="1"/>
  <c r="CQ62" i="1"/>
  <c r="CV63" i="1"/>
  <c r="W65" i="1"/>
  <c r="CV67" i="1"/>
  <c r="R70" i="1"/>
  <c r="X70" i="1" s="1"/>
  <c r="AD70" i="1" s="1"/>
  <c r="W71" i="1"/>
  <c r="CQ71" i="1"/>
  <c r="DI73" i="1"/>
  <c r="DM73" i="1" s="1"/>
  <c r="DQ73" i="1" s="1"/>
  <c r="DJ81" i="1"/>
  <c r="DN81" i="1" s="1"/>
  <c r="DR81" i="1" s="1"/>
  <c r="J89" i="1"/>
  <c r="O89" i="1"/>
  <c r="U89" i="1"/>
  <c r="AL89" i="1"/>
  <c r="AT89" i="1"/>
  <c r="BC89" i="1"/>
  <c r="BK89" i="1"/>
  <c r="BX89" i="1"/>
  <c r="CB89" i="1"/>
  <c r="CF89" i="1"/>
  <c r="CM89" i="1"/>
  <c r="CY89" i="1"/>
  <c r="DK89" i="1"/>
  <c r="DW89" i="1"/>
  <c r="EE89" i="1"/>
  <c r="EQ89" i="1"/>
  <c r="FB89" i="1"/>
  <c r="Y75" i="1"/>
  <c r="AE72" i="1"/>
  <c r="AE79" i="1"/>
  <c r="AJ76" i="1"/>
  <c r="AV76" i="1"/>
  <c r="AN76" i="1"/>
  <c r="AH76" i="1"/>
  <c r="DA79" i="1"/>
  <c r="DE76" i="1"/>
  <c r="EV77" i="1"/>
  <c r="EH77" i="1"/>
  <c r="EJ77" i="1"/>
  <c r="EN77" i="1" s="1"/>
  <c r="AJ78" i="1"/>
  <c r="AV78" i="1"/>
  <c r="AN78" i="1"/>
  <c r="AH78" i="1"/>
  <c r="CR82" i="1"/>
  <c r="CT80" i="1"/>
  <c r="CT82" i="1" s="1"/>
  <c r="AD83" i="1"/>
  <c r="EU92" i="1"/>
  <c r="EG92" i="1"/>
  <c r="EI92" i="1"/>
  <c r="EM92" i="1" s="1"/>
  <c r="DZ98" i="1"/>
  <c r="ED97" i="1"/>
  <c r="AJ106" i="1"/>
  <c r="AV106" i="1"/>
  <c r="AN106" i="1"/>
  <c r="AH106" i="1"/>
  <c r="AH107" i="1" s="1"/>
  <c r="AI119" i="1"/>
  <c r="AU119" i="1"/>
  <c r="AM119" i="1"/>
  <c r="AG119" i="1"/>
  <c r="AC119" i="1"/>
  <c r="EU124" i="1"/>
  <c r="EG124" i="1"/>
  <c r="EI124" i="1"/>
  <c r="EM124" i="1" s="1"/>
  <c r="AJ126" i="1"/>
  <c r="AN126" i="1"/>
  <c r="AH126" i="1"/>
  <c r="CL24" i="1"/>
  <c r="CL26" i="1" s="1"/>
  <c r="DB30" i="1"/>
  <c r="DO36" i="1"/>
  <c r="DO89" i="1" s="1"/>
  <c r="CW52" i="1"/>
  <c r="EL56" i="1"/>
  <c r="BS59" i="1"/>
  <c r="DS59" i="1"/>
  <c r="M62" i="1"/>
  <c r="CP62" i="1"/>
  <c r="EL65" i="1"/>
  <c r="CR68" i="1"/>
  <c r="DU77" i="1"/>
  <c r="DY77" i="1" s="1"/>
  <c r="EC77" i="1" s="1"/>
  <c r="N89" i="1"/>
  <c r="T89" i="1"/>
  <c r="AK89" i="1"/>
  <c r="AS89" i="1"/>
  <c r="BB89" i="1"/>
  <c r="BJ89" i="1"/>
  <c r="BW89" i="1"/>
  <c r="CA89" i="1"/>
  <c r="CE89" i="1"/>
  <c r="DD89" i="1"/>
  <c r="DP89" i="1"/>
  <c r="EB89" i="1"/>
  <c r="EP89" i="1"/>
  <c r="ET89" i="1"/>
  <c r="FA89" i="1"/>
  <c r="DT71" i="1"/>
  <c r="DZ75" i="1"/>
  <c r="ED73" i="1"/>
  <c r="AV77" i="1"/>
  <c r="AN77" i="1"/>
  <c r="AH77" i="1"/>
  <c r="AJ77" i="1"/>
  <c r="AI81" i="1"/>
  <c r="AU81" i="1"/>
  <c r="AM81" i="1"/>
  <c r="AG81" i="1"/>
  <c r="AC81" i="1"/>
  <c r="CQ85" i="1"/>
  <c r="CS83" i="1"/>
  <c r="CS85" i="1" s="1"/>
  <c r="AU90" i="1"/>
  <c r="AI90" i="1"/>
  <c r="AM90" i="1"/>
  <c r="AG90" i="1"/>
  <c r="AC90" i="1"/>
  <c r="EU103" i="1"/>
  <c r="EG103" i="1"/>
  <c r="EI103" i="1"/>
  <c r="EM103" i="1" s="1"/>
  <c r="AI114" i="1"/>
  <c r="AU114" i="1"/>
  <c r="AM114" i="1"/>
  <c r="AG114" i="1"/>
  <c r="AC114" i="1"/>
  <c r="EU196" i="1"/>
  <c r="EI196" i="1"/>
  <c r="EM196" i="1" s="1"/>
  <c r="EG196" i="1"/>
  <c r="DB14" i="1"/>
  <c r="R17" i="1"/>
  <c r="AH30" i="1"/>
  <c r="AH33" i="1" s="1"/>
  <c r="DA30" i="1"/>
  <c r="BE32" i="1"/>
  <c r="DB34" i="1"/>
  <c r="Y37" i="1"/>
  <c r="CS37" i="1"/>
  <c r="CS39" i="1" s="1"/>
  <c r="CS40" i="1"/>
  <c r="Y41" i="1"/>
  <c r="AE41" i="1" s="1"/>
  <c r="AE43" i="1" s="1"/>
  <c r="BD48" i="1"/>
  <c r="BD55" i="1"/>
  <c r="BE61" i="1"/>
  <c r="R63" i="1"/>
  <c r="CS66" i="1"/>
  <c r="CS68" i="1" s="1"/>
  <c r="R69" i="1"/>
  <c r="CV70" i="1"/>
  <c r="DU73" i="1"/>
  <c r="DY73" i="1" s="1"/>
  <c r="EC73" i="1" s="1"/>
  <c r="EM74" i="1"/>
  <c r="DV81" i="1"/>
  <c r="DZ81" i="1" s="1"/>
  <c r="L89" i="1"/>
  <c r="S89" i="1"/>
  <c r="AA89" i="1"/>
  <c r="AP89" i="1"/>
  <c r="AX89" i="1"/>
  <c r="BI89" i="1"/>
  <c r="BZ89" i="1"/>
  <c r="CD89" i="1"/>
  <c r="CJ89" i="1"/>
  <c r="CO89" i="1"/>
  <c r="DC89" i="1"/>
  <c r="EA89" i="1"/>
  <c r="EO89" i="1"/>
  <c r="ES89" i="1"/>
  <c r="EZ89" i="1"/>
  <c r="FD89" i="1"/>
  <c r="DE91" i="1"/>
  <c r="DE93" i="1" s="1"/>
  <c r="DA93" i="1"/>
  <c r="X98" i="1"/>
  <c r="AD96" i="1"/>
  <c r="CR96" i="1"/>
  <c r="CL98" i="1"/>
  <c r="CR101" i="1"/>
  <c r="CT99" i="1"/>
  <c r="CT101" i="1" s="1"/>
  <c r="DS104" i="1"/>
  <c r="AV103" i="1"/>
  <c r="AN103" i="1"/>
  <c r="AH103" i="1"/>
  <c r="CQ107" i="1"/>
  <c r="CS105" i="1"/>
  <c r="CS107" i="1" s="1"/>
  <c r="CW106" i="1"/>
  <c r="DA106" i="1" s="1"/>
  <c r="DE106" i="1" s="1"/>
  <c r="Y110" i="1"/>
  <c r="AE108" i="1"/>
  <c r="DA111" i="1"/>
  <c r="CW113" i="1"/>
  <c r="EL113" i="1"/>
  <c r="AU112" i="1"/>
  <c r="CQ112" i="1"/>
  <c r="CS112" i="1" s="1"/>
  <c r="CS113" i="1" s="1"/>
  <c r="CK113" i="1"/>
  <c r="DA112" i="1"/>
  <c r="DE112" i="1" s="1"/>
  <c r="Y117" i="1"/>
  <c r="AE115" i="1"/>
  <c r="AJ116" i="1"/>
  <c r="AV116" i="1"/>
  <c r="AV117" i="1" s="1"/>
  <c r="AN116" i="1"/>
  <c r="AH116" i="1"/>
  <c r="AU118" i="1"/>
  <c r="AI118" i="1"/>
  <c r="EU119" i="1"/>
  <c r="EG119" i="1"/>
  <c r="EI119" i="1"/>
  <c r="CR122" i="1"/>
  <c r="CT120" i="1"/>
  <c r="CT122" i="1" s="1"/>
  <c r="DG125" i="1"/>
  <c r="AV129" i="1"/>
  <c r="AN129" i="1"/>
  <c r="AR129" i="1" s="1"/>
  <c r="AH129" i="1"/>
  <c r="AJ129" i="1"/>
  <c r="AN131" i="1"/>
  <c r="AH131" i="1"/>
  <c r="DF132" i="1"/>
  <c r="DF134" i="1" s="1"/>
  <c r="AC133" i="1"/>
  <c r="AJ136" i="1"/>
  <c r="AV136" i="1"/>
  <c r="AN136" i="1"/>
  <c r="AH136" i="1"/>
  <c r="EJ136" i="1"/>
  <c r="EN136" i="1" s="1"/>
  <c r="EV136" i="1"/>
  <c r="EH136" i="1"/>
  <c r="AV138" i="1"/>
  <c r="AN138" i="1"/>
  <c r="AH138" i="1"/>
  <c r="W142" i="1"/>
  <c r="Y140" i="1"/>
  <c r="CQ143" i="1"/>
  <c r="CK146" i="1"/>
  <c r="DA143" i="1"/>
  <c r="AJ149" i="1"/>
  <c r="AH149" i="1"/>
  <c r="AN149" i="1"/>
  <c r="AV149" i="1"/>
  <c r="AJ151" i="1"/>
  <c r="AH151" i="1"/>
  <c r="AN151" i="1"/>
  <c r="AV151" i="1"/>
  <c r="AJ153" i="1"/>
  <c r="AH153" i="1"/>
  <c r="AN153" i="1"/>
  <c r="AV153" i="1"/>
  <c r="AG158" i="1"/>
  <c r="AV163" i="1"/>
  <c r="AN163" i="1"/>
  <c r="AH163" i="1"/>
  <c r="AJ163" i="1"/>
  <c r="W168" i="1"/>
  <c r="Y166" i="1"/>
  <c r="CT171" i="1"/>
  <c r="CR174" i="1"/>
  <c r="AU178" i="1"/>
  <c r="AM178" i="1"/>
  <c r="AG178" i="1"/>
  <c r="AC178" i="1"/>
  <c r="AI178" i="1"/>
  <c r="AU189" i="1"/>
  <c r="AM189" i="1"/>
  <c r="AU198" i="1"/>
  <c r="AM198" i="1"/>
  <c r="AG198" i="1"/>
  <c r="AI198" i="1"/>
  <c r="AU200" i="1"/>
  <c r="AM200" i="1"/>
  <c r="AG200" i="1"/>
  <c r="AC200" i="1"/>
  <c r="AI200" i="1"/>
  <c r="EU201" i="1"/>
  <c r="EG201" i="1"/>
  <c r="EI201" i="1"/>
  <c r="EM201" i="1" s="1"/>
  <c r="AI211" i="1"/>
  <c r="AU211" i="1"/>
  <c r="AM211" i="1"/>
  <c r="AG211" i="1"/>
  <c r="AC211" i="1"/>
  <c r="DB72" i="1"/>
  <c r="BD73" i="1"/>
  <c r="BL73" i="1"/>
  <c r="W75" i="1"/>
  <c r="CQ75" i="1"/>
  <c r="Q79" i="1"/>
  <c r="Y79" i="1"/>
  <c r="CW79" i="1"/>
  <c r="EK79" i="1"/>
  <c r="DB80" i="1"/>
  <c r="W82" i="1"/>
  <c r="CQ82" i="1"/>
  <c r="CU84" i="1"/>
  <c r="EL85" i="1"/>
  <c r="CU86" i="1"/>
  <c r="BT88" i="1"/>
  <c r="CU98" i="1"/>
  <c r="DU116" i="1"/>
  <c r="DY116" i="1" s="1"/>
  <c r="EC116" i="1" s="1"/>
  <c r="P135" i="1"/>
  <c r="BX135" i="1"/>
  <c r="CB135" i="1"/>
  <c r="CF135" i="1"/>
  <c r="EB135" i="1"/>
  <c r="FA135" i="1"/>
  <c r="AM127" i="1"/>
  <c r="DU131" i="1"/>
  <c r="DY131" i="1" s="1"/>
  <c r="EC131" i="1" s="1"/>
  <c r="K135" i="1"/>
  <c r="O135" i="1"/>
  <c r="AA135" i="1"/>
  <c r="BI135" i="1"/>
  <c r="BO135" i="1"/>
  <c r="BW135" i="1"/>
  <c r="CA135" i="1"/>
  <c r="CE135" i="1"/>
  <c r="AE91" i="1"/>
  <c r="Y93" i="1"/>
  <c r="DH93" i="1"/>
  <c r="DJ91" i="1"/>
  <c r="DT93" i="1"/>
  <c r="CX100" i="1"/>
  <c r="DB100" i="1" s="1"/>
  <c r="DF100" i="1" s="1"/>
  <c r="CQ104" i="1"/>
  <c r="CS102" i="1"/>
  <c r="AJ109" i="1"/>
  <c r="AV109" i="1"/>
  <c r="AN109" i="1"/>
  <c r="AH109" i="1"/>
  <c r="CK110" i="1"/>
  <c r="CQ109" i="1"/>
  <c r="AV112" i="1"/>
  <c r="AN112" i="1"/>
  <c r="AH112" i="1"/>
  <c r="AM116" i="1"/>
  <c r="R120" i="1"/>
  <c r="Q122" i="1"/>
  <c r="AN121" i="1"/>
  <c r="AH121" i="1"/>
  <c r="AJ121" i="1"/>
  <c r="DS125" i="1"/>
  <c r="AN127" i="1"/>
  <c r="AH127" i="1"/>
  <c r="AJ127" i="1"/>
  <c r="CX129" i="1"/>
  <c r="DB129" i="1" s="1"/>
  <c r="DF129" i="1" s="1"/>
  <c r="CQ134" i="1"/>
  <c r="CS133" i="1"/>
  <c r="CS134" i="1" s="1"/>
  <c r="AU136" i="1"/>
  <c r="AM136" i="1"/>
  <c r="AG136" i="1"/>
  <c r="AC136" i="1"/>
  <c r="R139" i="1"/>
  <c r="X137" i="1"/>
  <c r="EL139" i="1"/>
  <c r="ED144" i="1"/>
  <c r="AI145" i="1"/>
  <c r="AU145" i="1"/>
  <c r="AM145" i="1"/>
  <c r="AG145" i="1"/>
  <c r="AC145" i="1"/>
  <c r="Y156" i="1"/>
  <c r="AE147" i="1"/>
  <c r="AV150" i="1"/>
  <c r="AN150" i="1"/>
  <c r="AH150" i="1"/>
  <c r="AJ150" i="1"/>
  <c r="AV152" i="1"/>
  <c r="AN152" i="1"/>
  <c r="AH152" i="1"/>
  <c r="AJ152" i="1"/>
  <c r="AU154" i="1"/>
  <c r="AM154" i="1"/>
  <c r="AG154" i="1"/>
  <c r="AC154" i="1"/>
  <c r="AI154" i="1"/>
  <c r="AI155" i="1"/>
  <c r="AU155" i="1"/>
  <c r="AM155" i="1"/>
  <c r="AG155" i="1"/>
  <c r="AC155" i="1"/>
  <c r="ED169" i="1"/>
  <c r="DR169" i="1"/>
  <c r="DV169" i="1" s="1"/>
  <c r="EV175" i="1"/>
  <c r="EH175" i="1"/>
  <c r="EJ175" i="1"/>
  <c r="EN175" i="1" s="1"/>
  <c r="AJ176" i="1"/>
  <c r="AN176" i="1"/>
  <c r="AR176" i="1" s="1"/>
  <c r="AH176" i="1"/>
  <c r="DB179" i="1"/>
  <c r="DF177" i="1"/>
  <c r="DF179" i="1" s="1"/>
  <c r="BM180" i="1"/>
  <c r="BR180" i="1" s="1"/>
  <c r="BE180" i="1"/>
  <c r="AJ183" i="1"/>
  <c r="AV183" i="1"/>
  <c r="AN183" i="1"/>
  <c r="AH183" i="1"/>
  <c r="EU197" i="1"/>
  <c r="EG197" i="1"/>
  <c r="EI197" i="1"/>
  <c r="EM197" i="1" s="1"/>
  <c r="R72" i="1"/>
  <c r="DA72" i="1"/>
  <c r="CL75" i="1"/>
  <c r="CT76" i="1"/>
  <c r="CT79" i="1" s="1"/>
  <c r="DB76" i="1"/>
  <c r="DA80" i="1"/>
  <c r="DG81" i="1"/>
  <c r="DI81" i="1" s="1"/>
  <c r="DM81" i="1" s="1"/>
  <c r="DQ81" i="1" s="1"/>
  <c r="DU81" i="1" s="1"/>
  <c r="DY81" i="1" s="1"/>
  <c r="EC81" i="1" s="1"/>
  <c r="EU81" i="1" s="1"/>
  <c r="CL82" i="1"/>
  <c r="BD84" i="1"/>
  <c r="BL84" i="1"/>
  <c r="CT84" i="1"/>
  <c r="CV84" i="1" s="1"/>
  <c r="Q85" i="1"/>
  <c r="R85" i="1" s="1"/>
  <c r="CK85" i="1"/>
  <c r="CK89" i="1" s="1"/>
  <c r="CT86" i="1"/>
  <c r="X88" i="1"/>
  <c r="BA88" i="1"/>
  <c r="CS88" i="1"/>
  <c r="W93" i="1"/>
  <c r="CQ93" i="1"/>
  <c r="CX93" i="1"/>
  <c r="AM95" i="1"/>
  <c r="DU95" i="1"/>
  <c r="DY95" i="1" s="1"/>
  <c r="EC95" i="1" s="1"/>
  <c r="AM97" i="1"/>
  <c r="AQ97" i="1" s="1"/>
  <c r="DG100" i="1"/>
  <c r="DI100" i="1" s="1"/>
  <c r="DM100" i="1" s="1"/>
  <c r="DQ100" i="1" s="1"/>
  <c r="DU100" i="1" s="1"/>
  <c r="DY100" i="1" s="1"/>
  <c r="EC100" i="1" s="1"/>
  <c r="AJ103" i="1"/>
  <c r="AN105" i="1"/>
  <c r="BT110" i="1"/>
  <c r="DG117" i="1"/>
  <c r="DV119" i="1"/>
  <c r="EM119" i="1"/>
  <c r="X124" i="1"/>
  <c r="AD124" i="1" s="1"/>
  <c r="T135" i="1"/>
  <c r="BP135" i="1"/>
  <c r="CJ135" i="1"/>
  <c r="CN135" i="1"/>
  <c r="CZ135" i="1"/>
  <c r="EF135" i="1"/>
  <c r="EZ135" i="1"/>
  <c r="AG127" i="1"/>
  <c r="DI127" i="1"/>
  <c r="DM127" i="1" s="1"/>
  <c r="AV128" i="1"/>
  <c r="X130" i="1"/>
  <c r="AD130" i="1" s="1"/>
  <c r="DI130" i="1"/>
  <c r="DM130" i="1" s="1"/>
  <c r="DV130" i="1"/>
  <c r="DZ130" i="1" s="1"/>
  <c r="ED130" i="1" s="1"/>
  <c r="AJ131" i="1"/>
  <c r="AF134" i="1"/>
  <c r="S135" i="1"/>
  <c r="AK135" i="1"/>
  <c r="AS135" i="1"/>
  <c r="CI135" i="1"/>
  <c r="CM135" i="1"/>
  <c r="CY135" i="1"/>
  <c r="DK135" i="1"/>
  <c r="DW135" i="1"/>
  <c r="EQ135" i="1"/>
  <c r="Z135" i="1"/>
  <c r="AJ138" i="1"/>
  <c r="BZ185" i="1"/>
  <c r="FA185" i="1"/>
  <c r="AV95" i="1"/>
  <c r="AN95" i="1"/>
  <c r="AH95" i="1"/>
  <c r="AJ95" i="1"/>
  <c r="AV97" i="1"/>
  <c r="AN97" i="1"/>
  <c r="AH97" i="1"/>
  <c r="AJ97" i="1"/>
  <c r="DA97" i="1"/>
  <c r="DE97" i="1" s="1"/>
  <c r="DI97" i="1" s="1"/>
  <c r="DM97" i="1" s="1"/>
  <c r="DQ97" i="1" s="1"/>
  <c r="DU97" i="1" s="1"/>
  <c r="DY97" i="1" s="1"/>
  <c r="EC97" i="1" s="1"/>
  <c r="CQ97" i="1"/>
  <c r="CK98" i="1"/>
  <c r="BT101" i="1"/>
  <c r="DT101" i="1"/>
  <c r="R102" i="1"/>
  <c r="Q104" i="1"/>
  <c r="CR104" i="1"/>
  <c r="CT102" i="1"/>
  <c r="CT104" i="1" s="1"/>
  <c r="AU106" i="1"/>
  <c r="AM106" i="1"/>
  <c r="AQ106" i="1" s="1"/>
  <c r="AG106" i="1"/>
  <c r="AC106" i="1"/>
  <c r="Q110" i="1"/>
  <c r="R108" i="1"/>
  <c r="AM109" i="1"/>
  <c r="AG109" i="1"/>
  <c r="AC109" i="1"/>
  <c r="EV109" i="1"/>
  <c r="EH109" i="1"/>
  <c r="EJ109" i="1"/>
  <c r="EN109" i="1" s="1"/>
  <c r="DA117" i="1"/>
  <c r="EK117" i="1"/>
  <c r="AN118" i="1"/>
  <c r="AH118" i="1"/>
  <c r="DT122" i="1"/>
  <c r="R123" i="1"/>
  <c r="M125" i="1"/>
  <c r="DE123" i="1"/>
  <c r="DE125" i="1" s="1"/>
  <c r="DA125" i="1"/>
  <c r="CX128" i="1"/>
  <c r="DB128" i="1" s="1"/>
  <c r="DF128" i="1" s="1"/>
  <c r="DH128" i="1"/>
  <c r="EI132" i="1"/>
  <c r="EU132" i="1"/>
  <c r="EG132" i="1"/>
  <c r="DH134" i="1"/>
  <c r="AV133" i="1"/>
  <c r="AN133" i="1"/>
  <c r="AH133" i="1"/>
  <c r="DS139" i="1"/>
  <c r="DU137" i="1"/>
  <c r="EM140" i="1"/>
  <c r="EK142" i="1"/>
  <c r="AJ141" i="1"/>
  <c r="AV141" i="1"/>
  <c r="AN141" i="1"/>
  <c r="AR141" i="1" s="1"/>
  <c r="AH141" i="1"/>
  <c r="AI149" i="1"/>
  <c r="AU149" i="1"/>
  <c r="AM149" i="1"/>
  <c r="AG149" i="1"/>
  <c r="AC149" i="1"/>
  <c r="AI153" i="1"/>
  <c r="AU153" i="1"/>
  <c r="AM153" i="1"/>
  <c r="AG153" i="1"/>
  <c r="AC153" i="1"/>
  <c r="DH164" i="1"/>
  <c r="DJ162" i="1"/>
  <c r="CX173" i="1"/>
  <c r="DB173" i="1" s="1"/>
  <c r="DF173" i="1" s="1"/>
  <c r="DH173" i="1"/>
  <c r="EX185" i="1"/>
  <c r="AU180" i="1"/>
  <c r="AM180" i="1"/>
  <c r="AG180" i="1"/>
  <c r="AC180" i="1"/>
  <c r="AI180" i="1"/>
  <c r="DH183" i="1"/>
  <c r="CX183" i="1"/>
  <c r="DB183" i="1" s="1"/>
  <c r="DF183" i="1" s="1"/>
  <c r="AN187" i="1"/>
  <c r="AR186" i="1"/>
  <c r="DB186" i="1"/>
  <c r="CR186" i="1"/>
  <c r="CL187" i="1"/>
  <c r="CL223" i="1" s="1"/>
  <c r="AI190" i="1"/>
  <c r="AU190" i="1"/>
  <c r="AM190" i="1"/>
  <c r="AG190" i="1"/>
  <c r="AC190" i="1"/>
  <c r="DG190" i="1"/>
  <c r="CW190" i="1"/>
  <c r="DA190" i="1" s="1"/>
  <c r="DE190" i="1" s="1"/>
  <c r="AI216" i="1"/>
  <c r="AU216" i="1"/>
  <c r="AM216" i="1"/>
  <c r="AG216" i="1"/>
  <c r="AC216" i="1"/>
  <c r="CV69" i="1"/>
  <c r="CS76" i="1"/>
  <c r="CS79" i="1" s="1"/>
  <c r="R80" i="1"/>
  <c r="Y83" i="1"/>
  <c r="CV83" i="1"/>
  <c r="AB85" i="1"/>
  <c r="DB87" i="1"/>
  <c r="DF87" i="1" s="1"/>
  <c r="DJ87" i="1" s="1"/>
  <c r="DN87" i="1" s="1"/>
  <c r="DF88" i="1"/>
  <c r="DJ88" i="1" s="1"/>
  <c r="DI91" i="1"/>
  <c r="AH92" i="1"/>
  <c r="AR92" i="1" s="1"/>
  <c r="AV92" i="1"/>
  <c r="DB93" i="1"/>
  <c r="DS93" i="1"/>
  <c r="X94" i="1"/>
  <c r="AD94" i="1" s="1"/>
  <c r="AG95" i="1"/>
  <c r="M98" i="1"/>
  <c r="AG97" i="1"/>
  <c r="AF101" i="1"/>
  <c r="X100" i="1"/>
  <c r="AD100" i="1" s="1"/>
  <c r="EL101" i="1"/>
  <c r="BS107" i="1"/>
  <c r="CH107" i="1"/>
  <c r="CH135" i="1" s="1"/>
  <c r="CU108" i="1"/>
  <c r="V113" i="1"/>
  <c r="AF113" i="1"/>
  <c r="BF113" i="1"/>
  <c r="BT113" i="1"/>
  <c r="AJ112" i="1"/>
  <c r="DI112" i="1"/>
  <c r="DM112" i="1" s="1"/>
  <c r="DQ112" i="1" s="1"/>
  <c r="DU112" i="1" s="1"/>
  <c r="DY112" i="1" s="1"/>
  <c r="DJ114" i="1"/>
  <c r="DN114" i="1" s="1"/>
  <c r="DR114" i="1" s="1"/>
  <c r="DV114" i="1" s="1"/>
  <c r="DZ114" i="1" s="1"/>
  <c r="ED114" i="1" s="1"/>
  <c r="CG117" i="1"/>
  <c r="CR117" i="1"/>
  <c r="AB117" i="1"/>
  <c r="M122" i="1"/>
  <c r="CV121" i="1"/>
  <c r="DD135" i="1"/>
  <c r="DL135" i="1"/>
  <c r="DZ125" i="1"/>
  <c r="FC135" i="1"/>
  <c r="AN128" i="1"/>
  <c r="AC129" i="1"/>
  <c r="AU129" i="1"/>
  <c r="X131" i="1"/>
  <c r="AD131" i="1" s="1"/>
  <c r="DJ131" i="1"/>
  <c r="DN131" i="1" s="1"/>
  <c r="DR131" i="1" s="1"/>
  <c r="DV131" i="1" s="1"/>
  <c r="DZ131" i="1" s="1"/>
  <c r="ED131" i="1" s="1"/>
  <c r="V134" i="1"/>
  <c r="AE132" i="1"/>
  <c r="DA133" i="1"/>
  <c r="DE133" i="1" s="1"/>
  <c r="DJ133" i="1"/>
  <c r="DN133" i="1" s="1"/>
  <c r="DR133" i="1" s="1"/>
  <c r="BK135" i="1"/>
  <c r="BY135" i="1"/>
  <c r="CC135" i="1"/>
  <c r="DC135" i="1"/>
  <c r="DO135" i="1"/>
  <c r="EA135" i="1"/>
  <c r="AI136" i="1"/>
  <c r="X138" i="1"/>
  <c r="AD138" i="1" s="1"/>
  <c r="DH138" i="1"/>
  <c r="CT146" i="1"/>
  <c r="DB146" i="1"/>
  <c r="R91" i="1"/>
  <c r="Q93" i="1"/>
  <c r="EL93" i="1"/>
  <c r="AV94" i="1"/>
  <c r="AN94" i="1"/>
  <c r="AH94" i="1"/>
  <c r="DT98" i="1"/>
  <c r="AV100" i="1"/>
  <c r="AN100" i="1"/>
  <c r="AH100" i="1"/>
  <c r="AU103" i="1"/>
  <c r="AM103" i="1"/>
  <c r="AG103" i="1"/>
  <c r="AC103" i="1"/>
  <c r="AI103" i="1"/>
  <c r="AE107" i="1"/>
  <c r="AJ105" i="1"/>
  <c r="AJ107" i="1" s="1"/>
  <c r="DS107" i="1"/>
  <c r="DB110" i="1"/>
  <c r="DF108" i="1"/>
  <c r="DS110" i="1"/>
  <c r="EK110" i="1"/>
  <c r="AD111" i="1"/>
  <c r="DF112" i="1"/>
  <c r="DJ112" i="1" s="1"/>
  <c r="DB113" i="1"/>
  <c r="DB117" i="1"/>
  <c r="DF115" i="1"/>
  <c r="EV119" i="1"/>
  <c r="EH119" i="1"/>
  <c r="W125" i="1"/>
  <c r="Y123" i="1"/>
  <c r="AV124" i="1"/>
  <c r="AN124" i="1"/>
  <c r="AH124" i="1"/>
  <c r="EJ124" i="1"/>
  <c r="EN124" i="1" s="1"/>
  <c r="EV124" i="1"/>
  <c r="EH124" i="1"/>
  <c r="AU126" i="1"/>
  <c r="AM126" i="1"/>
  <c r="AG126" i="1"/>
  <c r="AC126" i="1"/>
  <c r="AV130" i="1"/>
  <c r="AN130" i="1"/>
  <c r="AH130" i="1"/>
  <c r="R134" i="1"/>
  <c r="X132" i="1"/>
  <c r="DT134" i="1"/>
  <c r="EL134" i="1"/>
  <c r="W139" i="1"/>
  <c r="Y137" i="1"/>
  <c r="CW138" i="1"/>
  <c r="DG138" i="1"/>
  <c r="X140" i="1"/>
  <c r="DH142" i="1"/>
  <c r="EL156" i="1"/>
  <c r="CX149" i="1"/>
  <c r="DB149" i="1" s="1"/>
  <c r="DF149" i="1" s="1"/>
  <c r="DH149" i="1"/>
  <c r="CX151" i="1"/>
  <c r="DB151" i="1" s="1"/>
  <c r="DF151" i="1" s="1"/>
  <c r="DH151" i="1"/>
  <c r="R162" i="1"/>
  <c r="Q164" i="1"/>
  <c r="AV167" i="1"/>
  <c r="AN167" i="1"/>
  <c r="AH167" i="1"/>
  <c r="AH168" i="1" s="1"/>
  <c r="AJ167" i="1"/>
  <c r="AJ168" i="1" s="1"/>
  <c r="AV170" i="1"/>
  <c r="AN170" i="1"/>
  <c r="AH170" i="1"/>
  <c r="AJ170" i="1"/>
  <c r="CS172" i="1"/>
  <c r="CS174" i="1" s="1"/>
  <c r="CS176" i="1"/>
  <c r="CU176" i="1" s="1"/>
  <c r="AI182" i="1"/>
  <c r="AU182" i="1"/>
  <c r="AM182" i="1"/>
  <c r="AG182" i="1"/>
  <c r="AC182" i="1"/>
  <c r="DB182" i="1"/>
  <c r="DF182" i="1" s="1"/>
  <c r="EN188" i="1"/>
  <c r="DT195" i="1"/>
  <c r="AE217" i="1"/>
  <c r="AJ215" i="1"/>
  <c r="AJ217" i="1" s="1"/>
  <c r="AN215" i="1"/>
  <c r="AV215" i="1"/>
  <c r="AV217" i="1" s="1"/>
  <c r="AH215" i="1"/>
  <c r="DI96" i="1"/>
  <c r="DB96" i="1"/>
  <c r="DV103" i="1"/>
  <c r="DZ103" i="1" s="1"/>
  <c r="CU105" i="1"/>
  <c r="CV106" i="1"/>
  <c r="Q107" i="1"/>
  <c r="Y107" i="1"/>
  <c r="EK107" i="1"/>
  <c r="BF110" i="1"/>
  <c r="W117" i="1"/>
  <c r="CV118" i="1"/>
  <c r="AN119" i="1"/>
  <c r="CV120" i="1"/>
  <c r="R121" i="1"/>
  <c r="X121" i="1" s="1"/>
  <c r="AD121" i="1" s="1"/>
  <c r="AV121" i="1"/>
  <c r="L135" i="1"/>
  <c r="BH135" i="1"/>
  <c r="DP135" i="1"/>
  <c r="DX135" i="1"/>
  <c r="EL125" i="1"/>
  <c r="CV126" i="1"/>
  <c r="AC127" i="1"/>
  <c r="AU127" i="1"/>
  <c r="AH128" i="1"/>
  <c r="CW128" i="1"/>
  <c r="DA128" i="1" s="1"/>
  <c r="DE128" i="1" s="1"/>
  <c r="DI128" i="1" s="1"/>
  <c r="DM128" i="1" s="1"/>
  <c r="DQ128" i="1" s="1"/>
  <c r="DU128" i="1" s="1"/>
  <c r="DY128" i="1" s="1"/>
  <c r="EC128" i="1" s="1"/>
  <c r="AM129" i="1"/>
  <c r="DH129" i="1"/>
  <c r="DV133" i="1"/>
  <c r="DZ133" i="1" s="1"/>
  <c r="ED133" i="1" s="1"/>
  <c r="U135" i="1"/>
  <c r="AO135" i="1"/>
  <c r="AW135" i="1"/>
  <c r="BC135" i="1"/>
  <c r="CK134" i="1"/>
  <c r="CO135" i="1"/>
  <c r="EE135" i="1"/>
  <c r="EO135" i="1"/>
  <c r="ES135" i="1"/>
  <c r="EY135" i="1"/>
  <c r="DB138" i="1"/>
  <c r="EW139" i="1"/>
  <c r="DF146" i="1"/>
  <c r="AP185" i="1"/>
  <c r="AO185" i="1"/>
  <c r="DH146" i="1"/>
  <c r="DJ143" i="1"/>
  <c r="AV144" i="1"/>
  <c r="AN144" i="1"/>
  <c r="AH144" i="1"/>
  <c r="AJ144" i="1"/>
  <c r="BS156" i="1"/>
  <c r="DS156" i="1"/>
  <c r="AV154" i="1"/>
  <c r="AN154" i="1"/>
  <c r="AH154" i="1"/>
  <c r="DT164" i="1"/>
  <c r="DB165" i="1"/>
  <c r="CR165" i="1"/>
  <c r="BS168" i="1"/>
  <c r="DT168" i="1"/>
  <c r="W174" i="1"/>
  <c r="Y171" i="1"/>
  <c r="AV172" i="1"/>
  <c r="AN172" i="1"/>
  <c r="AH172" i="1"/>
  <c r="AU176" i="1"/>
  <c r="AM176" i="1"/>
  <c r="AG176" i="1"/>
  <c r="AC176" i="1"/>
  <c r="Y184" i="1"/>
  <c r="AE181" i="1"/>
  <c r="DN181" i="1"/>
  <c r="DG183" i="1"/>
  <c r="DS187" i="1"/>
  <c r="EV188" i="1"/>
  <c r="EH188" i="1"/>
  <c r="DE193" i="1"/>
  <c r="DM193" i="1"/>
  <c r="R194" i="1"/>
  <c r="Q195" i="1"/>
  <c r="AV196" i="1"/>
  <c r="AN196" i="1"/>
  <c r="AH196" i="1"/>
  <c r="AJ196" i="1"/>
  <c r="AJ200" i="1"/>
  <c r="AV200" i="1"/>
  <c r="AN200" i="1"/>
  <c r="AH200" i="1"/>
  <c r="AV202" i="1"/>
  <c r="AN202" i="1"/>
  <c r="AH202" i="1"/>
  <c r="AJ202" i="1"/>
  <c r="AU204" i="1"/>
  <c r="AM204" i="1"/>
  <c r="AG204" i="1"/>
  <c r="AC204" i="1"/>
  <c r="AI204" i="1"/>
  <c r="CW206" i="1"/>
  <c r="DA206" i="1" s="1"/>
  <c r="DE206" i="1" s="1"/>
  <c r="DG206" i="1"/>
  <c r="DE208" i="1"/>
  <c r="DM208" i="1"/>
  <c r="DA210" i="1"/>
  <c r="AJ211" i="1"/>
  <c r="AN211" i="1"/>
  <c r="AR211" i="1" s="1"/>
  <c r="AV211" i="1"/>
  <c r="AU212" i="1"/>
  <c r="AM212" i="1"/>
  <c r="AG212" i="1"/>
  <c r="AC212" i="1"/>
  <c r="AI212" i="1"/>
  <c r="Y222" i="1"/>
  <c r="AI250" i="1"/>
  <c r="CV94" i="1"/>
  <c r="AE96" i="1"/>
  <c r="R98" i="1"/>
  <c r="EL98" i="1"/>
  <c r="AE99" i="1"/>
  <c r="EK101" i="1"/>
  <c r="EK104" i="1"/>
  <c r="EW107" i="1"/>
  <c r="W110" i="1"/>
  <c r="AE111" i="1"/>
  <c r="R113" i="1"/>
  <c r="CQ116" i="1"/>
  <c r="CX117" i="1"/>
  <c r="CS118" i="1"/>
  <c r="CU118" i="1" s="1"/>
  <c r="CU121" i="1"/>
  <c r="EK125" i="1"/>
  <c r="CQ127" i="1"/>
  <c r="CS127" i="1" s="1"/>
  <c r="CV137" i="1"/>
  <c r="CV139" i="1" s="1"/>
  <c r="DR137" i="1"/>
  <c r="DV137" i="1" s="1"/>
  <c r="EG140" i="1"/>
  <c r="DI141" i="1"/>
  <c r="M146" i="1"/>
  <c r="AF156" i="1"/>
  <c r="X148" i="1"/>
  <c r="AD148" i="1" s="1"/>
  <c r="CV148" i="1"/>
  <c r="CV155" i="1"/>
  <c r="R157" i="1"/>
  <c r="X157" i="1" s="1"/>
  <c r="AD157" i="1" s="1"/>
  <c r="AM161" i="1"/>
  <c r="DI161" i="1"/>
  <c r="DM161" i="1" s="1"/>
  <c r="DQ161" i="1" s="1"/>
  <c r="DU161" i="1" s="1"/>
  <c r="DY161" i="1" s="1"/>
  <c r="EC161" i="1" s="1"/>
  <c r="M164" i="1"/>
  <c r="DB164" i="1"/>
  <c r="X165" i="1"/>
  <c r="AD165" i="1" s="1"/>
  <c r="DI166" i="1"/>
  <c r="DI169" i="1"/>
  <c r="DM169" i="1" s="1"/>
  <c r="BF174" i="1"/>
  <c r="BT174" i="1"/>
  <c r="BT185" i="1" s="1"/>
  <c r="AM173" i="1"/>
  <c r="AQ173" i="1" s="1"/>
  <c r="DJ178" i="1"/>
  <c r="DN178" i="1" s="1"/>
  <c r="DR178" i="1" s="1"/>
  <c r="DV178" i="1" s="1"/>
  <c r="DZ178" i="1" s="1"/>
  <c r="M179" i="1"/>
  <c r="CT184" i="1"/>
  <c r="AV182" i="1"/>
  <c r="O185" i="1"/>
  <c r="U185" i="1"/>
  <c r="AS185" i="1"/>
  <c r="BK185" i="1"/>
  <c r="BW185" i="1"/>
  <c r="CA185" i="1"/>
  <c r="CE185" i="1"/>
  <c r="CK185" i="1"/>
  <c r="CO185" i="1"/>
  <c r="CY185" i="1"/>
  <c r="DP185" i="1"/>
  <c r="EA185" i="1"/>
  <c r="EQ185" i="1"/>
  <c r="EZ185" i="1"/>
  <c r="AN194" i="1"/>
  <c r="AR194" i="1" s="1"/>
  <c r="AZ194" i="1" s="1"/>
  <c r="DJ194" i="1"/>
  <c r="DN194" i="1" s="1"/>
  <c r="DR194" i="1" s="1"/>
  <c r="DV194" i="1" s="1"/>
  <c r="DZ194" i="1" s="1"/>
  <c r="DE205" i="1"/>
  <c r="CC223" i="1"/>
  <c r="FB223" i="1"/>
  <c r="FB310" i="1" s="1"/>
  <c r="BZ223" i="1"/>
  <c r="CD223" i="1"/>
  <c r="DB142" i="1"/>
  <c r="DF141" i="1"/>
  <c r="DF142" i="1" s="1"/>
  <c r="DT146" i="1"/>
  <c r="AV157" i="1"/>
  <c r="AN157" i="1"/>
  <c r="AR157" i="1" s="1"/>
  <c r="AV161" i="1"/>
  <c r="AN161" i="1"/>
  <c r="AH161" i="1"/>
  <c r="AJ161" i="1"/>
  <c r="AV165" i="1"/>
  <c r="AN165" i="1"/>
  <c r="AH165" i="1"/>
  <c r="DF166" i="1"/>
  <c r="AV169" i="1"/>
  <c r="AN169" i="1"/>
  <c r="AH169" i="1"/>
  <c r="AJ169" i="1"/>
  <c r="DT174" i="1"/>
  <c r="EL174" i="1"/>
  <c r="AV173" i="1"/>
  <c r="AN173" i="1"/>
  <c r="AH173" i="1"/>
  <c r="AJ173" i="1"/>
  <c r="R179" i="1"/>
  <c r="X177" i="1"/>
  <c r="CL179" i="1"/>
  <c r="CL185" i="1" s="1"/>
  <c r="CR177" i="1"/>
  <c r="CR179" i="1" s="1"/>
  <c r="DE177" i="1"/>
  <c r="DE179" i="1" s="1"/>
  <c r="DM177" i="1"/>
  <c r="DH182" i="1"/>
  <c r="AV192" i="1"/>
  <c r="AN192" i="1"/>
  <c r="AH192" i="1"/>
  <c r="AJ192" i="1"/>
  <c r="BS195" i="1"/>
  <c r="DA194" i="1"/>
  <c r="DE194" i="1" s="1"/>
  <c r="DI194" i="1" s="1"/>
  <c r="CW195" i="1"/>
  <c r="CX205" i="1"/>
  <c r="DB199" i="1"/>
  <c r="R203" i="1"/>
  <c r="X203" i="1" s="1"/>
  <c r="AD203" i="1" s="1"/>
  <c r="Q205" i="1"/>
  <c r="AJ204" i="1"/>
  <c r="AV204" i="1"/>
  <c r="AN204" i="1"/>
  <c r="AH204" i="1"/>
  <c r="AE209" i="1"/>
  <c r="AJ208" i="1"/>
  <c r="AJ209" i="1" s="1"/>
  <c r="AV208" i="1"/>
  <c r="AV209" i="1" s="1"/>
  <c r="AN208" i="1"/>
  <c r="AH208" i="1"/>
  <c r="AH209" i="1" s="1"/>
  <c r="Q213" i="1"/>
  <c r="R210" i="1"/>
  <c r="AG214" i="1"/>
  <c r="AI219" i="1"/>
  <c r="AG219" i="1"/>
  <c r="AM219" i="1"/>
  <c r="CR221" i="1"/>
  <c r="CT220" i="1"/>
  <c r="CT221" i="1" s="1"/>
  <c r="DA98" i="1"/>
  <c r="W107" i="1"/>
  <c r="CL110" i="1"/>
  <c r="CL135" i="1" s="1"/>
  <c r="CX110" i="1"/>
  <c r="EK113" i="1"/>
  <c r="R115" i="1"/>
  <c r="CU137" i="1"/>
  <c r="CU139" i="1" s="1"/>
  <c r="ED137" i="1"/>
  <c r="BG146" i="1"/>
  <c r="V156" i="1"/>
  <c r="V185" i="1" s="1"/>
  <c r="CH156" i="1"/>
  <c r="CH185" i="1" s="1"/>
  <c r="CU148" i="1"/>
  <c r="CV150" i="1"/>
  <c r="CV152" i="1"/>
  <c r="W164" i="1"/>
  <c r="DI178" i="1"/>
  <c r="T185" i="1"/>
  <c r="AA185" i="1"/>
  <c r="AW185" i="1"/>
  <c r="BC185" i="1"/>
  <c r="CJ185" i="1"/>
  <c r="CN185" i="1"/>
  <c r="DD185" i="1"/>
  <c r="DO185" i="1"/>
  <c r="DX185" i="1"/>
  <c r="EF185" i="1"/>
  <c r="EF310" i="1" s="1"/>
  <c r="EY185" i="1"/>
  <c r="Z185" i="1"/>
  <c r="DU188" i="1"/>
  <c r="AC219" i="1"/>
  <c r="BW223" i="1"/>
  <c r="CQ142" i="1"/>
  <c r="CS140" i="1"/>
  <c r="CS142" i="1" s="1"/>
  <c r="AU141" i="1"/>
  <c r="AM141" i="1"/>
  <c r="AG141" i="1"/>
  <c r="AC141" i="1"/>
  <c r="R156" i="1"/>
  <c r="X147" i="1"/>
  <c r="CT147" i="1"/>
  <c r="CR156" i="1"/>
  <c r="AV148" i="1"/>
  <c r="AN148" i="1"/>
  <c r="AH148" i="1"/>
  <c r="DG150" i="1"/>
  <c r="CW150" i="1"/>
  <c r="DA150" i="1" s="1"/>
  <c r="DE150" i="1" s="1"/>
  <c r="DG152" i="1"/>
  <c r="CW152" i="1"/>
  <c r="DA152" i="1" s="1"/>
  <c r="DE152" i="1" s="1"/>
  <c r="R159" i="1"/>
  <c r="Q160" i="1"/>
  <c r="X166" i="1"/>
  <c r="AN175" i="1"/>
  <c r="AH175" i="1"/>
  <c r="DH176" i="1"/>
  <c r="CX176" i="1"/>
  <c r="DB176" i="1" s="1"/>
  <c r="W179" i="1"/>
  <c r="Y177" i="1"/>
  <c r="DH179" i="1"/>
  <c r="AJ178" i="1"/>
  <c r="AV178" i="1"/>
  <c r="AN178" i="1"/>
  <c r="AH178" i="1"/>
  <c r="AU183" i="1"/>
  <c r="AM183" i="1"/>
  <c r="AG183" i="1"/>
  <c r="AC183" i="1"/>
  <c r="R188" i="1"/>
  <c r="Q191" i="1"/>
  <c r="AV197" i="1"/>
  <c r="AN197" i="1"/>
  <c r="AR197" i="1" s="1"/>
  <c r="AH197" i="1"/>
  <c r="AJ197" i="1"/>
  <c r="EV202" i="1"/>
  <c r="EH202" i="1"/>
  <c r="EJ202" i="1"/>
  <c r="EN202" i="1" s="1"/>
  <c r="AJ203" i="1"/>
  <c r="AN203" i="1"/>
  <c r="AR203" i="1" s="1"/>
  <c r="AV203" i="1"/>
  <c r="AI206" i="1"/>
  <c r="AU206" i="1"/>
  <c r="AM206" i="1"/>
  <c r="AG206" i="1"/>
  <c r="AC206" i="1"/>
  <c r="CX211" i="1"/>
  <c r="DB211" i="1" s="1"/>
  <c r="DF211" i="1" s="1"/>
  <c r="DH211" i="1"/>
  <c r="AJ214" i="1"/>
  <c r="AN214" i="1"/>
  <c r="AR214" i="1" s="1"/>
  <c r="AV214" i="1"/>
  <c r="R215" i="1"/>
  <c r="Q217" i="1"/>
  <c r="DS221" i="1"/>
  <c r="DB219" i="1"/>
  <c r="AI220" i="1"/>
  <c r="AM220" i="1"/>
  <c r="EU220" i="1"/>
  <c r="EG220" i="1"/>
  <c r="EI220" i="1"/>
  <c r="EM220" i="1" s="1"/>
  <c r="Y241" i="1"/>
  <c r="W248" i="1"/>
  <c r="CS99" i="1"/>
  <c r="CS101" i="1" s="1"/>
  <c r="Y102" i="1"/>
  <c r="CR105" i="1"/>
  <c r="CT115" i="1"/>
  <c r="CT117" i="1" s="1"/>
  <c r="Y120" i="1"/>
  <c r="CS120" i="1"/>
  <c r="CS122" i="1" s="1"/>
  <c r="CR146" i="1"/>
  <c r="CX146" i="1"/>
  <c r="X150" i="1"/>
  <c r="AD150" i="1" s="1"/>
  <c r="X152" i="1"/>
  <c r="AD152" i="1" s="1"/>
  <c r="AR155" i="1"/>
  <c r="AZ155" i="1" s="1"/>
  <c r="Q156" i="1"/>
  <c r="DJ157" i="1"/>
  <c r="DN157" i="1" s="1"/>
  <c r="CS164" i="1"/>
  <c r="AM163" i="1"/>
  <c r="DV163" i="1"/>
  <c r="DZ163" i="1" s="1"/>
  <c r="AJ165" i="1"/>
  <c r="AM167" i="1"/>
  <c r="AQ167" i="1" s="1"/>
  <c r="R171" i="1"/>
  <c r="X172" i="1"/>
  <c r="AD172" i="1" s="1"/>
  <c r="EK174" i="1"/>
  <c r="EK184" i="1"/>
  <c r="AH182" i="1"/>
  <c r="L185" i="1"/>
  <c r="S185" i="1"/>
  <c r="AB184" i="1"/>
  <c r="AK185" i="1"/>
  <c r="BI185" i="1"/>
  <c r="BP185" i="1"/>
  <c r="BY185" i="1"/>
  <c r="CC185" i="1"/>
  <c r="CI185" i="1"/>
  <c r="CM185" i="1"/>
  <c r="DC185" i="1"/>
  <c r="DL185" i="1"/>
  <c r="DW185" i="1"/>
  <c r="EE185" i="1"/>
  <c r="EO185" i="1"/>
  <c r="ES185" i="1"/>
  <c r="AR189" i="1"/>
  <c r="AZ189" i="1" s="1"/>
  <c r="AR190" i="1"/>
  <c r="AZ190" i="1" s="1"/>
  <c r="X193" i="1"/>
  <c r="DB195" i="1"/>
  <c r="R196" i="1"/>
  <c r="X196" i="1" s="1"/>
  <c r="AD196" i="1" s="1"/>
  <c r="AL223" i="1"/>
  <c r="AV201" i="1"/>
  <c r="AN201" i="1"/>
  <c r="AH201" i="1"/>
  <c r="EJ201" i="1"/>
  <c r="EN201" i="1" s="1"/>
  <c r="EV201" i="1"/>
  <c r="EH201" i="1"/>
  <c r="AU208" i="1"/>
  <c r="AM208" i="1"/>
  <c r="AG208" i="1"/>
  <c r="AC208" i="1"/>
  <c r="W221" i="1"/>
  <c r="Y218" i="1"/>
  <c r="BT221" i="1"/>
  <c r="AU231" i="1"/>
  <c r="AM231" i="1"/>
  <c r="AG231" i="1"/>
  <c r="AC231" i="1"/>
  <c r="AI231" i="1"/>
  <c r="BT235" i="1"/>
  <c r="DF239" i="1"/>
  <c r="AG245" i="1"/>
  <c r="AC245" i="1"/>
  <c r="AM245" i="1"/>
  <c r="AI245" i="1"/>
  <c r="CX251" i="1"/>
  <c r="DB251" i="1" s="1"/>
  <c r="DF251" i="1" s="1"/>
  <c r="DH251" i="1"/>
  <c r="EV268" i="1"/>
  <c r="EH268" i="1"/>
  <c r="EJ268" i="1"/>
  <c r="EN268" i="1" s="1"/>
  <c r="CT140" i="1"/>
  <c r="CT142" i="1" s="1"/>
  <c r="ED140" i="1"/>
  <c r="R143" i="1"/>
  <c r="AE143" i="1"/>
  <c r="CW145" i="1"/>
  <c r="DA145" i="1" s="1"/>
  <c r="DE145" i="1" s="1"/>
  <c r="CU147" i="1"/>
  <c r="CS148" i="1"/>
  <c r="CU149" i="1"/>
  <c r="CU151" i="1"/>
  <c r="CU153" i="1"/>
  <c r="CU155" i="1"/>
  <c r="CV158" i="1"/>
  <c r="CV159" i="1"/>
  <c r="CU163" i="1"/>
  <c r="CU167" i="1"/>
  <c r="CU171" i="1"/>
  <c r="CT172" i="1"/>
  <c r="CV172" i="1" s="1"/>
  <c r="CU173" i="1"/>
  <c r="CT180" i="1"/>
  <c r="CV180" i="1" s="1"/>
  <c r="R181" i="1"/>
  <c r="CS182" i="1"/>
  <c r="CS184" i="1" s="1"/>
  <c r="AE186" i="1"/>
  <c r="BT186" i="1"/>
  <c r="BT187" i="1" s="1"/>
  <c r="CU192" i="1"/>
  <c r="AE193" i="1"/>
  <c r="DG205" i="1"/>
  <c r="DU203" i="1"/>
  <c r="DY203" i="1" s="1"/>
  <c r="EC203" i="1" s="1"/>
  <c r="Y205" i="1"/>
  <c r="AH206" i="1"/>
  <c r="AR206" i="1" s="1"/>
  <c r="EO223" i="1"/>
  <c r="AW223" i="1"/>
  <c r="J223" i="1"/>
  <c r="AT223" i="1"/>
  <c r="AT310" i="1" s="1"/>
  <c r="BJ223" i="1"/>
  <c r="EP223" i="1"/>
  <c r="EP310" i="1" s="1"/>
  <c r="AO240" i="1"/>
  <c r="AO310" i="1" s="1"/>
  <c r="AW240" i="1"/>
  <c r="X199" i="1"/>
  <c r="AE205" i="1"/>
  <c r="AN199" i="1"/>
  <c r="AH199" i="1"/>
  <c r="EK209" i="1"/>
  <c r="EK223" i="1" s="1"/>
  <c r="CS210" i="1"/>
  <c r="CQ213" i="1"/>
  <c r="AV212" i="1"/>
  <c r="AN212" i="1"/>
  <c r="AH212" i="1"/>
  <c r="DH218" i="1"/>
  <c r="DG221" i="1"/>
  <c r="AV219" i="1"/>
  <c r="AN219" i="1"/>
  <c r="AH219" i="1"/>
  <c r="AJ219" i="1"/>
  <c r="Z223" i="1"/>
  <c r="AB221" i="1"/>
  <c r="AJ227" i="1"/>
  <c r="AV227" i="1"/>
  <c r="AN227" i="1"/>
  <c r="AR227" i="1" s="1"/>
  <c r="AH227" i="1"/>
  <c r="EU229" i="1"/>
  <c r="EG229" i="1"/>
  <c r="EI229" i="1"/>
  <c r="EM229" i="1" s="1"/>
  <c r="DF241" i="1"/>
  <c r="DJ241" i="1" s="1"/>
  <c r="Y266" i="1"/>
  <c r="DG142" i="1"/>
  <c r="CQ156" i="1"/>
  <c r="CU159" i="1"/>
  <c r="CR160" i="1"/>
  <c r="DT160" i="1"/>
  <c r="DS168" i="1"/>
  <c r="CQ174" i="1"/>
  <c r="DS174" i="1"/>
  <c r="DA181" i="1"/>
  <c r="CG186" i="1"/>
  <c r="CG187" i="1" s="1"/>
  <c r="CV189" i="1"/>
  <c r="DJ193" i="1"/>
  <c r="CR195" i="1"/>
  <c r="DV196" i="1"/>
  <c r="DZ196" i="1" s="1"/>
  <c r="ED196" i="1" s="1"/>
  <c r="DI200" i="1"/>
  <c r="DM200" i="1" s="1"/>
  <c r="DQ200" i="1" s="1"/>
  <c r="DU200" i="1" s="1"/>
  <c r="DY200" i="1" s="1"/>
  <c r="EC200" i="1" s="1"/>
  <c r="AJ201" i="1"/>
  <c r="R202" i="1"/>
  <c r="X202" i="1" s="1"/>
  <c r="AD202" i="1" s="1"/>
  <c r="DI204" i="1"/>
  <c r="DM204" i="1" s="1"/>
  <c r="DQ204" i="1" s="1"/>
  <c r="DU204" i="1" s="1"/>
  <c r="DY204" i="1" s="1"/>
  <c r="EC204" i="1" s="1"/>
  <c r="BE207" i="1"/>
  <c r="BS209" i="1"/>
  <c r="DT209" i="1"/>
  <c r="AI208" i="1"/>
  <c r="CG217" i="1"/>
  <c r="CS217" i="1"/>
  <c r="AN216" i="1"/>
  <c r="U223" i="1"/>
  <c r="AH220" i="1"/>
  <c r="AR220" i="1" s="1"/>
  <c r="AZ220" i="1" s="1"/>
  <c r="N223" i="1"/>
  <c r="BB223" i="1"/>
  <c r="CP223" i="1"/>
  <c r="BF223" i="1"/>
  <c r="AU245" i="1"/>
  <c r="AV198" i="1"/>
  <c r="AN198" i="1"/>
  <c r="AR198" i="1" s="1"/>
  <c r="AZ198" i="1" s="1"/>
  <c r="CT199" i="1"/>
  <c r="CT205" i="1" s="1"/>
  <c r="CR205" i="1"/>
  <c r="AG201" i="1"/>
  <c r="DS209" i="1"/>
  <c r="EX223" i="1"/>
  <c r="DI226" i="1"/>
  <c r="EI230" i="1"/>
  <c r="EM230" i="1" s="1"/>
  <c r="EU230" i="1"/>
  <c r="EG230" i="1"/>
  <c r="AV237" i="1"/>
  <c r="AN237" i="1"/>
  <c r="AH237" i="1"/>
  <c r="AJ237" i="1"/>
  <c r="AJ244" i="1"/>
  <c r="AV244" i="1"/>
  <c r="AH244" i="1"/>
  <c r="AN244" i="1"/>
  <c r="AU251" i="1"/>
  <c r="AM251" i="1"/>
  <c r="AG251" i="1"/>
  <c r="AC251" i="1"/>
  <c r="AI251" i="1"/>
  <c r="AI252" i="1"/>
  <c r="AC252" i="1"/>
  <c r="AM252" i="1"/>
  <c r="AG252" i="1"/>
  <c r="AU252" i="1"/>
  <c r="AV252" i="1"/>
  <c r="AN252" i="1"/>
  <c r="AH252" i="1"/>
  <c r="AJ252" i="1"/>
  <c r="DR140" i="1"/>
  <c r="DG145" i="1"/>
  <c r="Y159" i="1"/>
  <c r="Y162" i="1"/>
  <c r="CU162" i="1"/>
  <c r="CT177" i="1"/>
  <c r="CT179" i="1" s="1"/>
  <c r="CU186" i="1"/>
  <c r="DV188" i="1"/>
  <c r="DJ198" i="1"/>
  <c r="DN198" i="1" s="1"/>
  <c r="DI198" i="1"/>
  <c r="DM198" i="1" s="1"/>
  <c r="DQ198" i="1" s="1"/>
  <c r="DU198" i="1" s="1"/>
  <c r="DY198" i="1" s="1"/>
  <c r="EC198" i="1" s="1"/>
  <c r="W205" i="1"/>
  <c r="DJ203" i="1"/>
  <c r="DN203" i="1" s="1"/>
  <c r="DR203" i="1" s="1"/>
  <c r="DV203" i="1" s="1"/>
  <c r="DZ203" i="1" s="1"/>
  <c r="ED203" i="1" s="1"/>
  <c r="AV206" i="1"/>
  <c r="DH206" i="1"/>
  <c r="DJ206" i="1" s="1"/>
  <c r="DN206" i="1" s="1"/>
  <c r="DR206" i="1" s="1"/>
  <c r="DV206" i="1" s="1"/>
  <c r="DZ206" i="1" s="1"/>
  <c r="ED206" i="1" s="1"/>
  <c r="BM207" i="1"/>
  <c r="DG208" i="1"/>
  <c r="CU212" i="1"/>
  <c r="AH216" i="1"/>
  <c r="CU216" i="1"/>
  <c r="AK223" i="1"/>
  <c r="ES223" i="1"/>
  <c r="R218" i="1"/>
  <c r="AP223" i="1"/>
  <c r="AX223" i="1"/>
  <c r="CX234" i="1"/>
  <c r="DB234" i="1" s="1"/>
  <c r="DF234" i="1" s="1"/>
  <c r="DH234" i="1"/>
  <c r="AV242" i="1"/>
  <c r="AN242" i="1"/>
  <c r="AH242" i="1"/>
  <c r="EV244" i="1"/>
  <c r="EH244" i="1"/>
  <c r="AJ247" i="1"/>
  <c r="AH247" i="1"/>
  <c r="AN247" i="1"/>
  <c r="CR253" i="1"/>
  <c r="CT249" i="1"/>
  <c r="W253" i="1"/>
  <c r="Y250" i="1"/>
  <c r="AE250" i="1" s="1"/>
  <c r="DO253" i="1"/>
  <c r="DS250" i="1"/>
  <c r="DS253" i="1" s="1"/>
  <c r="EL253" i="1"/>
  <c r="BT271" i="1"/>
  <c r="EV270" i="1"/>
  <c r="EH270" i="1"/>
  <c r="EJ270" i="1"/>
  <c r="EN270" i="1" s="1"/>
  <c r="EJ279" i="1"/>
  <c r="EN279" i="1" s="1"/>
  <c r="EV279" i="1"/>
  <c r="EH279" i="1"/>
  <c r="BQ281" i="1"/>
  <c r="DB197" i="1"/>
  <c r="DF197" i="1" s="1"/>
  <c r="DJ197" i="1" s="1"/>
  <c r="DN197" i="1" s="1"/>
  <c r="DI199" i="1"/>
  <c r="R207" i="1"/>
  <c r="Y207" i="1"/>
  <c r="Y209" i="1" s="1"/>
  <c r="CS207" i="1"/>
  <c r="CS209" i="1" s="1"/>
  <c r="CT208" i="1"/>
  <c r="CV208" i="1" s="1"/>
  <c r="DB210" i="1"/>
  <c r="CT212" i="1"/>
  <c r="CV212" i="1" s="1"/>
  <c r="CS214" i="1"/>
  <c r="CU214" i="1" s="1"/>
  <c r="Y217" i="1"/>
  <c r="Q221" i="1"/>
  <c r="CK221" i="1"/>
  <c r="CK223" i="1" s="1"/>
  <c r="EW223" i="1"/>
  <c r="FA223" i="1"/>
  <c r="FA310" i="1" s="1"/>
  <c r="FE223" i="1"/>
  <c r="AF223" i="1"/>
  <c r="CH223" i="1"/>
  <c r="AM230" i="1"/>
  <c r="AQ230" i="1" s="1"/>
  <c r="AY230" i="1" s="1"/>
  <c r="X232" i="1"/>
  <c r="AD232" i="1" s="1"/>
  <c r="DI232" i="1"/>
  <c r="DM232" i="1" s="1"/>
  <c r="DQ232" i="1" s="1"/>
  <c r="DU232" i="1" s="1"/>
  <c r="DY232" i="1" s="1"/>
  <c r="EC232" i="1" s="1"/>
  <c r="DS235" i="1"/>
  <c r="DS240" i="1" s="1"/>
  <c r="AM234" i="1"/>
  <c r="CG238" i="1"/>
  <c r="CG240" i="1" s="1"/>
  <c r="T240" i="1"/>
  <c r="BP240" i="1"/>
  <c r="BX240" i="1"/>
  <c r="CB240" i="1"/>
  <c r="CF240" i="1"/>
  <c r="CK240" i="1"/>
  <c r="CO240" i="1"/>
  <c r="DD240" i="1"/>
  <c r="DL240" i="1"/>
  <c r="EO240" i="1"/>
  <c r="ES240" i="1"/>
  <c r="Z240" i="1"/>
  <c r="AB240" i="1" s="1"/>
  <c r="V248" i="1"/>
  <c r="X243" i="1"/>
  <c r="AD243" i="1" s="1"/>
  <c r="AV247" i="1"/>
  <c r="DI222" i="1"/>
  <c r="EL223" i="1"/>
  <c r="CS224" i="1"/>
  <c r="CS225" i="1" s="1"/>
  <c r="CQ225" i="1"/>
  <c r="CQ228" i="1"/>
  <c r="CS226" i="1"/>
  <c r="AJ229" i="1"/>
  <c r="AV229" i="1"/>
  <c r="AN229" i="1"/>
  <c r="AH229" i="1"/>
  <c r="AJ230" i="1"/>
  <c r="AV230" i="1"/>
  <c r="AN230" i="1"/>
  <c r="AH230" i="1"/>
  <c r="CS231" i="1"/>
  <c r="CU231" i="1" s="1"/>
  <c r="AV232" i="1"/>
  <c r="AN232" i="1"/>
  <c r="AH232" i="1"/>
  <c r="AV233" i="1"/>
  <c r="AN233" i="1"/>
  <c r="AH233" i="1"/>
  <c r="Y234" i="1"/>
  <c r="AE234" i="1" s="1"/>
  <c r="AE235" i="1" s="1"/>
  <c r="W235" i="1"/>
  <c r="AU237" i="1"/>
  <c r="AM237" i="1"/>
  <c r="AG237" i="1"/>
  <c r="AC237" i="1"/>
  <c r="Q240" i="1"/>
  <c r="R239" i="1"/>
  <c r="DJ239" i="1"/>
  <c r="CS242" i="1"/>
  <c r="CU242" i="1" s="1"/>
  <c r="EW248" i="1"/>
  <c r="AU246" i="1"/>
  <c r="AM246" i="1"/>
  <c r="AG246" i="1"/>
  <c r="AC246" i="1"/>
  <c r="AI246" i="1"/>
  <c r="CK253" i="1"/>
  <c r="CK262" i="1" s="1"/>
  <c r="CQ250" i="1"/>
  <c r="DG258" i="1"/>
  <c r="CW258" i="1"/>
  <c r="DA258" i="1" s="1"/>
  <c r="DE258" i="1" s="1"/>
  <c r="AV259" i="1"/>
  <c r="AN259" i="1"/>
  <c r="AH259" i="1"/>
  <c r="AJ259" i="1"/>
  <c r="AA262" i="1"/>
  <c r="AB260" i="1"/>
  <c r="EI264" i="1"/>
  <c r="EM264" i="1" s="1"/>
  <c r="EG264" i="1"/>
  <c r="EU273" i="1"/>
  <c r="EG273" i="1"/>
  <c r="EI273" i="1"/>
  <c r="EM273" i="1" s="1"/>
  <c r="EU279" i="1"/>
  <c r="EG279" i="1"/>
  <c r="EI279" i="1"/>
  <c r="EM279" i="1" s="1"/>
  <c r="CV207" i="1"/>
  <c r="CU215" i="1"/>
  <c r="CQ219" i="1"/>
  <c r="CS219" i="1" s="1"/>
  <c r="CS221" i="1" s="1"/>
  <c r="L223" i="1"/>
  <c r="P223" i="1"/>
  <c r="P310" i="1" s="1"/>
  <c r="T223" i="1"/>
  <c r="BH223" i="1"/>
  <c r="BP223" i="1"/>
  <c r="BX223" i="1"/>
  <c r="CB223" i="1"/>
  <c r="CF223" i="1"/>
  <c r="CJ223" i="1"/>
  <c r="CN223" i="1"/>
  <c r="CZ223" i="1"/>
  <c r="CZ310" i="1" s="1"/>
  <c r="DD223" i="1"/>
  <c r="DL223" i="1"/>
  <c r="DP223" i="1"/>
  <c r="DX223" i="1"/>
  <c r="EB223" i="1"/>
  <c r="EF223" i="1"/>
  <c r="ER223" i="1"/>
  <c r="EZ223" i="1"/>
  <c r="FD223" i="1"/>
  <c r="FD310" i="1" s="1"/>
  <c r="R222" i="1"/>
  <c r="W228" i="1"/>
  <c r="AC227" i="1"/>
  <c r="AU227" i="1"/>
  <c r="CV231" i="1"/>
  <c r="AK240" i="1"/>
  <c r="AS240" i="1"/>
  <c r="CJ240" i="1"/>
  <c r="CN240" i="1"/>
  <c r="DP240" i="1"/>
  <c r="DX240" i="1"/>
  <c r="DX310" i="1" s="1"/>
  <c r="BG240" i="1"/>
  <c r="BT240" i="1"/>
  <c r="CV245" i="1"/>
  <c r="DL262" i="1"/>
  <c r="EU264" i="1"/>
  <c r="DS223" i="1"/>
  <c r="AQ224" i="1"/>
  <c r="AM225" i="1"/>
  <c r="DA224" i="1"/>
  <c r="CW225" i="1"/>
  <c r="AH226" i="1"/>
  <c r="CT227" i="1"/>
  <c r="CT228" i="1" s="1"/>
  <c r="CR228" i="1"/>
  <c r="AV231" i="1"/>
  <c r="AN231" i="1"/>
  <c r="AH231" i="1"/>
  <c r="AJ231" i="1"/>
  <c r="ED232" i="1"/>
  <c r="DR232" i="1"/>
  <c r="DV232" i="1" s="1"/>
  <c r="CR238" i="1"/>
  <c r="CV236" i="1"/>
  <c r="EK238" i="1"/>
  <c r="EK240" i="1" s="1"/>
  <c r="M248" i="1"/>
  <c r="R241" i="1"/>
  <c r="CL248" i="1"/>
  <c r="CR241" i="1"/>
  <c r="DT248" i="1"/>
  <c r="AI244" i="1"/>
  <c r="AJ245" i="1"/>
  <c r="AN245" i="1"/>
  <c r="AH245" i="1"/>
  <c r="AV245" i="1"/>
  <c r="AV246" i="1"/>
  <c r="AJ246" i="1"/>
  <c r="AH246" i="1"/>
  <c r="AR246" i="1" s="1"/>
  <c r="Z262" i="1"/>
  <c r="AB253" i="1"/>
  <c r="DG257" i="1"/>
  <c r="CW257" i="1"/>
  <c r="AV268" i="1"/>
  <c r="AN268" i="1"/>
  <c r="AH268" i="1"/>
  <c r="AJ268" i="1"/>
  <c r="EU277" i="1"/>
  <c r="EG277" i="1"/>
  <c r="EI277" i="1"/>
  <c r="EM277" i="1" s="1"/>
  <c r="K223" i="1"/>
  <c r="O223" i="1"/>
  <c r="S223" i="1"/>
  <c r="AA223" i="1"/>
  <c r="BC223" i="1"/>
  <c r="BK223" i="1"/>
  <c r="BK310" i="1" s="1"/>
  <c r="BO223" i="1"/>
  <c r="CA223" i="1"/>
  <c r="CE223" i="1"/>
  <c r="CE310" i="1" s="1"/>
  <c r="CE312" i="1" s="1"/>
  <c r="CI223" i="1"/>
  <c r="CM223" i="1"/>
  <c r="CY223" i="1"/>
  <c r="DC223" i="1"/>
  <c r="DK223" i="1"/>
  <c r="DO223" i="1"/>
  <c r="DW223" i="1"/>
  <c r="EA223" i="1"/>
  <c r="EA310" i="1" s="1"/>
  <c r="EE223" i="1"/>
  <c r="EQ223" i="1"/>
  <c r="EY223" i="1"/>
  <c r="FC223" i="1"/>
  <c r="FC310" i="1" s="1"/>
  <c r="BG223" i="1"/>
  <c r="AM227" i="1"/>
  <c r="BS238" i="1"/>
  <c r="BS240" i="1" s="1"/>
  <c r="L240" i="1"/>
  <c r="BH240" i="1"/>
  <c r="EW240" i="1"/>
  <c r="M240" i="1"/>
  <c r="CW249" i="1"/>
  <c r="DG249" i="1"/>
  <c r="AH251" i="1"/>
  <c r="AR251" i="1" s="1"/>
  <c r="AV251" i="1"/>
  <c r="AJ251" i="1"/>
  <c r="CT252" i="1"/>
  <c r="CV252" i="1" s="1"/>
  <c r="AE256" i="1"/>
  <c r="AN254" i="1"/>
  <c r="AH254" i="1"/>
  <c r="AV255" i="1"/>
  <c r="AV256" i="1" s="1"/>
  <c r="AN255" i="1"/>
  <c r="AH255" i="1"/>
  <c r="AJ255" i="1"/>
  <c r="AJ256" i="1" s="1"/>
  <c r="EK269" i="1"/>
  <c r="BM272" i="1"/>
  <c r="BE272" i="1"/>
  <c r="BE286" i="1" s="1"/>
  <c r="AZ286" i="1"/>
  <c r="AZ288" i="1" s="1"/>
  <c r="BA281" i="1"/>
  <c r="BD281" i="1"/>
  <c r="BM281" i="1"/>
  <c r="BR281" i="1" s="1"/>
  <c r="BV281" i="1" s="1"/>
  <c r="BE281" i="1"/>
  <c r="BL285" i="1"/>
  <c r="BD285" i="1"/>
  <c r="CT222" i="1"/>
  <c r="DB222" i="1"/>
  <c r="DJ224" i="1"/>
  <c r="DF226" i="1"/>
  <c r="DJ226" i="1" s="1"/>
  <c r="CS227" i="1"/>
  <c r="CU227" i="1" s="1"/>
  <c r="CR229" i="1"/>
  <c r="CT229" i="1" s="1"/>
  <c r="CT233" i="1"/>
  <c r="CT235" i="1" s="1"/>
  <c r="CT237" i="1"/>
  <c r="CT238" i="1" s="1"/>
  <c r="Y239" i="1"/>
  <c r="DE239" i="1"/>
  <c r="CQ248" i="1"/>
  <c r="DE241" i="1"/>
  <c r="DI241" i="1" s="1"/>
  <c r="CU245" i="1"/>
  <c r="AF253" i="1"/>
  <c r="N262" i="1"/>
  <c r="X255" i="1"/>
  <c r="AD255" i="1" s="1"/>
  <c r="U262" i="1"/>
  <c r="BY262" i="1"/>
  <c r="CC262" i="1"/>
  <c r="BH262" i="1"/>
  <c r="Z271" i="1"/>
  <c r="AB271" i="1" s="1"/>
  <c r="DU254" i="1"/>
  <c r="DS256" i="1"/>
  <c r="CS255" i="1"/>
  <c r="CU255" i="1" s="1"/>
  <c r="CQ256" i="1"/>
  <c r="CT286" i="1"/>
  <c r="CT288" i="1" s="1"/>
  <c r="CV272" i="1"/>
  <c r="EU275" i="1"/>
  <c r="EG275" i="1"/>
  <c r="EI275" i="1"/>
  <c r="EM275" i="1" s="1"/>
  <c r="AV293" i="1"/>
  <c r="AN293" i="1"/>
  <c r="AH293" i="1"/>
  <c r="AJ293" i="1"/>
  <c r="AZ224" i="1"/>
  <c r="CQ235" i="1"/>
  <c r="CQ240" i="1" s="1"/>
  <c r="AE236" i="1"/>
  <c r="AF248" i="1"/>
  <c r="CH248" i="1"/>
  <c r="EK248" i="1"/>
  <c r="R242" i="1"/>
  <c r="X242" i="1" s="1"/>
  <c r="AD242" i="1" s="1"/>
  <c r="AN243" i="1"/>
  <c r="AR243" i="1" s="1"/>
  <c r="AL262" i="1"/>
  <c r="AL310" i="1" s="1"/>
  <c r="CO262" i="1"/>
  <c r="DK262" i="1"/>
  <c r="DS260" i="1"/>
  <c r="AZ276" i="1"/>
  <c r="AQ277" i="1"/>
  <c r="AY277" i="1" s="1"/>
  <c r="DV278" i="1"/>
  <c r="DZ278" i="1" s="1"/>
  <c r="ED278" i="1" s="1"/>
  <c r="AQ284" i="1"/>
  <c r="AY284" i="1" s="1"/>
  <c r="EW253" i="1"/>
  <c r="AD254" i="1"/>
  <c r="CL256" i="1"/>
  <c r="CR254" i="1"/>
  <c r="CX255" i="1"/>
  <c r="DH255" i="1"/>
  <c r="Y260" i="1"/>
  <c r="AE257" i="1"/>
  <c r="AU259" i="1"/>
  <c r="AM259" i="1"/>
  <c r="AG259" i="1"/>
  <c r="AC259" i="1"/>
  <c r="AI259" i="1"/>
  <c r="AV261" i="1"/>
  <c r="AN261" i="1"/>
  <c r="AH261" i="1"/>
  <c r="AJ261" i="1"/>
  <c r="CS268" i="1"/>
  <c r="CU268" i="1" s="1"/>
  <c r="X233" i="1"/>
  <c r="BS248" i="1"/>
  <c r="BS262" i="1" s="1"/>
  <c r="AJ243" i="1"/>
  <c r="CV243" i="1"/>
  <c r="M253" i="1"/>
  <c r="CU251" i="1"/>
  <c r="AP262" i="1"/>
  <c r="AP310" i="1" s="1"/>
  <c r="Q256" i="1"/>
  <c r="AK262" i="1"/>
  <c r="AS262" i="1"/>
  <c r="EK256" i="1"/>
  <c r="CS260" i="1"/>
  <c r="O262" i="1"/>
  <c r="EA262" i="1"/>
  <c r="ED254" i="1"/>
  <c r="X261" i="1"/>
  <c r="EV264" i="1"/>
  <c r="EH264" i="1"/>
  <c r="DS269" i="1"/>
  <c r="DS271" i="1" s="1"/>
  <c r="AU268" i="1"/>
  <c r="AM268" i="1"/>
  <c r="AG268" i="1"/>
  <c r="AC268" i="1"/>
  <c r="AI270" i="1"/>
  <c r="AU270" i="1"/>
  <c r="AM270" i="1"/>
  <c r="M286" i="1"/>
  <c r="M288" i="1" s="1"/>
  <c r="R272" i="1"/>
  <c r="DS286" i="1"/>
  <c r="DS288" i="1" s="1"/>
  <c r="BL274" i="1"/>
  <c r="BD274" i="1"/>
  <c r="BM279" i="1"/>
  <c r="BR279" i="1" s="1"/>
  <c r="BV279" i="1" s="1"/>
  <c r="BE279" i="1"/>
  <c r="BM280" i="1"/>
  <c r="BR280" i="1" s="1"/>
  <c r="BV280" i="1" s="1"/>
  <c r="BE280" i="1"/>
  <c r="EJ282" i="1"/>
  <c r="EN282" i="1" s="1"/>
  <c r="EV282" i="1"/>
  <c r="BA283" i="1"/>
  <c r="BL283" i="1"/>
  <c r="BD283" i="1"/>
  <c r="BM283" i="1"/>
  <c r="BR283" i="1" s="1"/>
  <c r="BV283" i="1" s="1"/>
  <c r="BE283" i="1"/>
  <c r="EU284" i="1"/>
  <c r="EG284" i="1"/>
  <c r="EI284" i="1"/>
  <c r="EM284" i="1" s="1"/>
  <c r="AU291" i="1"/>
  <c r="AM291" i="1"/>
  <c r="AQ291" i="1" s="1"/>
  <c r="AG291" i="1"/>
  <c r="AC291" i="1"/>
  <c r="AI291" i="1"/>
  <c r="AC300" i="1"/>
  <c r="AH302" i="1"/>
  <c r="AR302" i="1" s="1"/>
  <c r="AV302" i="1"/>
  <c r="AE308" i="1"/>
  <c r="ED302" i="1"/>
  <c r="DR302" i="1"/>
  <c r="DV302" i="1" s="1"/>
  <c r="BA304" i="1"/>
  <c r="BL304" i="1"/>
  <c r="BA306" i="1"/>
  <c r="DF309" i="1"/>
  <c r="BJ262" i="1"/>
  <c r="V256" i="1"/>
  <c r="Y256" i="1"/>
  <c r="V260" i="1"/>
  <c r="CT260" i="1"/>
  <c r="S262" i="1"/>
  <c r="CI262" i="1"/>
  <c r="CM262" i="1"/>
  <c r="CM310" i="1" s="1"/>
  <c r="CQ260" i="1"/>
  <c r="CY262" i="1"/>
  <c r="CY310" i="1" s="1"/>
  <c r="DO262" i="1"/>
  <c r="DW262" i="1"/>
  <c r="DW310" i="1" s="1"/>
  <c r="EE262" i="1"/>
  <c r="AR273" i="1"/>
  <c r="AZ273" i="1" s="1"/>
  <c r="AR274" i="1"/>
  <c r="AZ274" i="1" s="1"/>
  <c r="BA274" i="1" s="1"/>
  <c r="DV276" i="1"/>
  <c r="DZ276" i="1" s="1"/>
  <c r="ED276" i="1" s="1"/>
  <c r="DJ277" i="1"/>
  <c r="DN277" i="1" s="1"/>
  <c r="DR277" i="1" s="1"/>
  <c r="DV277" i="1" s="1"/>
  <c r="DZ277" i="1" s="1"/>
  <c r="ED277" i="1" s="1"/>
  <c r="BL280" i="1"/>
  <c r="BJ310" i="1"/>
  <c r="ES310" i="1"/>
  <c r="AE249" i="1"/>
  <c r="EL256" i="1"/>
  <c r="X257" i="1"/>
  <c r="CS261" i="1"/>
  <c r="Q265" i="1"/>
  <c r="R263" i="1"/>
  <c r="EL265" i="1"/>
  <c r="EK265" i="1"/>
  <c r="CK271" i="1"/>
  <c r="CQ266" i="1"/>
  <c r="DA266" i="1"/>
  <c r="AE267" i="1"/>
  <c r="Y269" i="1"/>
  <c r="DB269" i="1"/>
  <c r="DF267" i="1"/>
  <c r="DF269" i="1" s="1"/>
  <c r="BA287" i="1"/>
  <c r="EI287" i="1"/>
  <c r="EM287" i="1" s="1"/>
  <c r="EU287" i="1"/>
  <c r="EG287" i="1"/>
  <c r="CW291" i="1"/>
  <c r="DA291" i="1" s="1"/>
  <c r="DE291" i="1" s="1"/>
  <c r="AM298" i="1"/>
  <c r="CG253" i="1"/>
  <c r="J262" i="1"/>
  <c r="BF256" i="1"/>
  <c r="BF262" i="1" s="1"/>
  <c r="CV257" i="1"/>
  <c r="AJ258" i="1"/>
  <c r="CV258" i="1"/>
  <c r="EK260" i="1"/>
  <c r="CU259" i="1"/>
  <c r="K262" i="1"/>
  <c r="W260" i="1"/>
  <c r="W262" i="1" s="1"/>
  <c r="BK262" i="1"/>
  <c r="DT260" i="1"/>
  <c r="EX262" i="1"/>
  <c r="CX261" i="1"/>
  <c r="DH263" i="1"/>
  <c r="R264" i="1"/>
  <c r="X264" i="1" s="1"/>
  <c r="AD264" i="1" s="1"/>
  <c r="CV265" i="1"/>
  <c r="DT265" i="1"/>
  <c r="M271" i="1"/>
  <c r="CT267" i="1"/>
  <c r="CT269" i="1" s="1"/>
  <c r="AI268" i="1"/>
  <c r="AC270" i="1"/>
  <c r="DU270" i="1"/>
  <c r="DY270" i="1" s="1"/>
  <c r="EC270" i="1" s="1"/>
  <c r="AQ273" i="1"/>
  <c r="AY273" i="1" s="1"/>
  <c r="DJ274" i="1"/>
  <c r="DN274" i="1" s="1"/>
  <c r="DR274" i="1" s="1"/>
  <c r="DV274" i="1" s="1"/>
  <c r="DZ274" i="1" s="1"/>
  <c r="ED274" i="1" s="1"/>
  <c r="AR277" i="1"/>
  <c r="AZ277" i="1" s="1"/>
  <c r="AR278" i="1"/>
  <c r="AZ278" i="1" s="1"/>
  <c r="AZ282" i="1"/>
  <c r="BA282" i="1" s="1"/>
  <c r="EH282" i="1"/>
  <c r="Q253" i="1"/>
  <c r="R249" i="1"/>
  <c r="Q260" i="1"/>
  <c r="R258" i="1"/>
  <c r="X258" i="1" s="1"/>
  <c r="AD258" i="1" s="1"/>
  <c r="Y265" i="1"/>
  <c r="AE263" i="1"/>
  <c r="CT266" i="1"/>
  <c r="CV266" i="1" s="1"/>
  <c r="R267" i="1"/>
  <c r="Q269" i="1"/>
  <c r="Q271" i="1" s="1"/>
  <c r="CQ269" i="1"/>
  <c r="CS267" i="1"/>
  <c r="DT269" i="1"/>
  <c r="DT271" i="1" s="1"/>
  <c r="EU282" i="1"/>
  <c r="BB262" i="1"/>
  <c r="BB310" i="1" s="1"/>
  <c r="CU254" i="1"/>
  <c r="DR254" i="1"/>
  <c r="M260" i="1"/>
  <c r="CV259" i="1"/>
  <c r="BC262" i="1"/>
  <c r="BO262" i="1"/>
  <c r="CR260" i="1"/>
  <c r="CT265" i="1"/>
  <c r="DB263" i="1"/>
  <c r="CR265" i="1"/>
  <c r="EL271" i="1"/>
  <c r="BF269" i="1"/>
  <c r="BF271" i="1" s="1"/>
  <c r="CX269" i="1"/>
  <c r="DJ267" i="1"/>
  <c r="W269" i="1"/>
  <c r="W271" i="1" s="1"/>
  <c r="AG270" i="1"/>
  <c r="DJ273" i="1"/>
  <c r="DN273" i="1" s="1"/>
  <c r="DR273" i="1" s="1"/>
  <c r="DV273" i="1" s="1"/>
  <c r="DZ273" i="1" s="1"/>
  <c r="ED273" i="1" s="1"/>
  <c r="AZ275" i="1"/>
  <c r="BA276" i="1"/>
  <c r="BL276" i="1"/>
  <c r="BD280" i="1"/>
  <c r="DJ281" i="1"/>
  <c r="DN281" i="1" s="1"/>
  <c r="DR281" i="1" s="1"/>
  <c r="DV281" i="1" s="1"/>
  <c r="DZ281" i="1" s="1"/>
  <c r="ED281" i="1" s="1"/>
  <c r="DJ288" i="1"/>
  <c r="DN287" i="1"/>
  <c r="DR287" i="1" s="1"/>
  <c r="DV287" i="1" s="1"/>
  <c r="DZ287" i="1" s="1"/>
  <c r="CS294" i="1"/>
  <c r="CU294" i="1" s="1"/>
  <c r="AJ296" i="1"/>
  <c r="AV296" i="1"/>
  <c r="AH296" i="1"/>
  <c r="AN296" i="1"/>
  <c r="CQ263" i="1"/>
  <c r="CP265" i="1"/>
  <c r="CG271" i="1"/>
  <c r="AV270" i="1"/>
  <c r="DI276" i="1"/>
  <c r="DM276" i="1" s="1"/>
  <c r="DQ276" i="1" s="1"/>
  <c r="DU276" i="1" s="1"/>
  <c r="DY276" i="1" s="1"/>
  <c r="EC276" i="1" s="1"/>
  <c r="DU278" i="1"/>
  <c r="DY278" i="1" s="1"/>
  <c r="EC278" i="1" s="1"/>
  <c r="DI280" i="1"/>
  <c r="DM280" i="1" s="1"/>
  <c r="DQ280" i="1" s="1"/>
  <c r="DU280" i="1" s="1"/>
  <c r="DY280" i="1" s="1"/>
  <c r="EC280" i="1" s="1"/>
  <c r="BU281" i="1"/>
  <c r="AR285" i="1"/>
  <c r="AZ285" i="1" s="1"/>
  <c r="DJ285" i="1"/>
  <c r="DN285" i="1" s="1"/>
  <c r="DR285" i="1" s="1"/>
  <c r="DV285" i="1" s="1"/>
  <c r="DZ285" i="1" s="1"/>
  <c r="ED285" i="1" s="1"/>
  <c r="EK286" i="1"/>
  <c r="EK288" i="1" s="1"/>
  <c r="CS295" i="1"/>
  <c r="CU295" i="1" s="1"/>
  <c r="EK271" i="1"/>
  <c r="BS269" i="1"/>
  <c r="BS271" i="1" s="1"/>
  <c r="CU272" i="1"/>
  <c r="AQ275" i="1"/>
  <c r="AY275" i="1" s="1"/>
  <c r="AQ279" i="1"/>
  <c r="AY279" i="1" s="1"/>
  <c r="DU281" i="1"/>
  <c r="DY281" i="1" s="1"/>
  <c r="EC281" i="1" s="1"/>
  <c r="DV283" i="1"/>
  <c r="DZ283" i="1" s="1"/>
  <c r="ED283" i="1" s="1"/>
  <c r="Y286" i="1"/>
  <c r="Y288" i="1" s="1"/>
  <c r="CW290" i="1"/>
  <c r="DA289" i="1"/>
  <c r="AI292" i="1"/>
  <c r="AU292" i="1"/>
  <c r="AM292" i="1"/>
  <c r="AQ292" i="1" s="1"/>
  <c r="AY292" i="1" s="1"/>
  <c r="CS297" i="1"/>
  <c r="CU297" i="1" s="1"/>
  <c r="DI283" i="1"/>
  <c r="DM283" i="1" s="1"/>
  <c r="DQ283" i="1" s="1"/>
  <c r="DU283" i="1" s="1"/>
  <c r="DY283" i="1" s="1"/>
  <c r="EC283" i="1" s="1"/>
  <c r="DU285" i="1"/>
  <c r="DY285" i="1" s="1"/>
  <c r="EC285" i="1" s="1"/>
  <c r="CQ286" i="1"/>
  <c r="CQ288" i="1" s="1"/>
  <c r="BE287" i="1"/>
  <c r="AB288" i="1"/>
  <c r="AC288" i="1" s="1"/>
  <c r="AV289" i="1"/>
  <c r="AV290" i="1" s="1"/>
  <c r="AC294" i="1"/>
  <c r="AU294" i="1"/>
  <c r="AV292" i="1"/>
  <c r="AN292" i="1"/>
  <c r="AR292" i="1" s="1"/>
  <c r="AI297" i="1"/>
  <c r="AM297" i="1"/>
  <c r="AC297" i="1"/>
  <c r="AU297" i="1"/>
  <c r="AG297" i="1"/>
  <c r="AC293" i="1"/>
  <c r="AU293" i="1"/>
  <c r="AM294" i="1"/>
  <c r="CV294" i="1"/>
  <c r="R289" i="1"/>
  <c r="Q290" i="1"/>
  <c r="AJ291" i="1"/>
  <c r="AV291" i="1"/>
  <c r="AN291" i="1"/>
  <c r="AH291" i="1"/>
  <c r="CS292" i="1"/>
  <c r="CU292" i="1" s="1"/>
  <c r="AV294" i="1"/>
  <c r="AN294" i="1"/>
  <c r="AH294" i="1"/>
  <c r="AJ294" i="1"/>
  <c r="AG296" i="1"/>
  <c r="DS296" i="1"/>
  <c r="DS308" i="1" s="1"/>
  <c r="DO308" i="1"/>
  <c r="AY272" i="1"/>
  <c r="DI285" i="1"/>
  <c r="DM285" i="1" s="1"/>
  <c r="DQ285" i="1" s="1"/>
  <c r="W286" i="1"/>
  <c r="W288" i="1" s="1"/>
  <c r="AH289" i="1"/>
  <c r="AH290" i="1" s="1"/>
  <c r="AM293" i="1"/>
  <c r="AV295" i="1"/>
  <c r="AN295" i="1"/>
  <c r="AH295" i="1"/>
  <c r="AV297" i="1"/>
  <c r="AN297" i="1"/>
  <c r="AH297" i="1"/>
  <c r="AV298" i="1"/>
  <c r="AN298" i="1"/>
  <c r="AR298" i="1" s="1"/>
  <c r="AI301" i="1"/>
  <c r="AU301" i="1"/>
  <c r="AM301" i="1"/>
  <c r="AG301" i="1"/>
  <c r="AC301" i="1"/>
  <c r="CT289" i="1"/>
  <c r="CT290" i="1" s="1"/>
  <c r="DB289" i="1"/>
  <c r="CT291" i="1"/>
  <c r="CV291" i="1" s="1"/>
  <c r="CV296" i="1"/>
  <c r="CV298" i="1"/>
  <c r="R299" i="1"/>
  <c r="X299" i="1" s="1"/>
  <c r="AD299" i="1" s="1"/>
  <c r="AV299" i="1"/>
  <c r="BW308" i="1"/>
  <c r="DI301" i="1"/>
  <c r="DM301" i="1" s="1"/>
  <c r="V308" i="1"/>
  <c r="DJ304" i="1"/>
  <c r="DN304" i="1" s="1"/>
  <c r="DR304" i="1" s="1"/>
  <c r="DV304" i="1" s="1"/>
  <c r="DZ304" i="1" s="1"/>
  <c r="ED304" i="1" s="1"/>
  <c r="DJ306" i="1"/>
  <c r="DN306" i="1" s="1"/>
  <c r="DR306" i="1" s="1"/>
  <c r="DV306" i="1" s="1"/>
  <c r="DZ306" i="1" s="1"/>
  <c r="ED306" i="1" s="1"/>
  <c r="EK308" i="1"/>
  <c r="DJ309" i="1"/>
  <c r="CX297" i="1"/>
  <c r="DB297" i="1" s="1"/>
  <c r="DF297" i="1" s="1"/>
  <c r="DH297" i="1"/>
  <c r="AV300" i="1"/>
  <c r="AN300" i="1"/>
  <c r="AH300" i="1"/>
  <c r="AJ300" i="1"/>
  <c r="EV303" i="1"/>
  <c r="EH303" i="1"/>
  <c r="EJ303" i="1"/>
  <c r="EN303" i="1" s="1"/>
  <c r="BM305" i="1"/>
  <c r="BR305" i="1" s="1"/>
  <c r="BV305" i="1" s="1"/>
  <c r="BE305" i="1"/>
  <c r="EV305" i="1"/>
  <c r="EH305" i="1"/>
  <c r="EJ305" i="1"/>
  <c r="EN305" i="1" s="1"/>
  <c r="DF307" i="1"/>
  <c r="AZ309" i="1"/>
  <c r="AJ325" i="1"/>
  <c r="AJ327" i="1"/>
  <c r="CU296" i="1"/>
  <c r="AZ299" i="1"/>
  <c r="Q308" i="1"/>
  <c r="DI304" i="1"/>
  <c r="DM304" i="1" s="1"/>
  <c r="DQ304" i="1" s="1"/>
  <c r="DU304" i="1" s="1"/>
  <c r="DY304" i="1" s="1"/>
  <c r="EC304" i="1" s="1"/>
  <c r="BG308" i="1"/>
  <c r="DI306" i="1"/>
  <c r="DM306" i="1" s="1"/>
  <c r="DQ306" i="1" s="1"/>
  <c r="DU306" i="1" s="1"/>
  <c r="DY306" i="1" s="1"/>
  <c r="EC306" i="1" s="1"/>
  <c r="Y308" i="1"/>
  <c r="CH308" i="1"/>
  <c r="DT308" i="1"/>
  <c r="CD310" i="1"/>
  <c r="AH301" i="1"/>
  <c r="AV301" i="1"/>
  <c r="AN301" i="1"/>
  <c r="BL303" i="1"/>
  <c r="BD303" i="1"/>
  <c r="EU303" i="1"/>
  <c r="BM304" i="1"/>
  <c r="BR304" i="1" s="1"/>
  <c r="BV304" i="1" s="1"/>
  <c r="BE304" i="1"/>
  <c r="BA305" i="1"/>
  <c r="BL305" i="1"/>
  <c r="BD305" i="1"/>
  <c r="EU305" i="1"/>
  <c r="EG305" i="1"/>
  <c r="EI305" i="1"/>
  <c r="EM305" i="1" s="1"/>
  <c r="BM306" i="1"/>
  <c r="BR306" i="1" s="1"/>
  <c r="BV306" i="1" s="1"/>
  <c r="BE306" i="1"/>
  <c r="AY307" i="1"/>
  <c r="DE307" i="1"/>
  <c r="R295" i="1"/>
  <c r="X295" i="1" s="1"/>
  <c r="AD295" i="1" s="1"/>
  <c r="CV295" i="1"/>
  <c r="DV299" i="1"/>
  <c r="DZ299" i="1" s="1"/>
  <c r="ED299" i="1" s="1"/>
  <c r="M308" i="1"/>
  <c r="CK308" i="1"/>
  <c r="BF308" i="1"/>
  <c r="CG308" i="1"/>
  <c r="J310" i="1"/>
  <c r="EZ310" i="1"/>
  <c r="DH300" i="1"/>
  <c r="W308" i="1"/>
  <c r="BS308" i="1"/>
  <c r="AY309" i="1"/>
  <c r="CU298" i="1"/>
  <c r="CU299" i="1"/>
  <c r="CP308" i="1"/>
  <c r="CX300" i="1"/>
  <c r="DB300" i="1" s="1"/>
  <c r="DF300" i="1" s="1"/>
  <c r="R302" i="1"/>
  <c r="CQ302" i="1"/>
  <c r="CS302" i="1" s="1"/>
  <c r="AR307" i="1"/>
  <c r="CT307" i="1"/>
  <c r="CT308" i="1" s="1"/>
  <c r="DE309" i="1"/>
  <c r="EX310" i="1"/>
  <c r="BL278" i="1" l="1"/>
  <c r="BD278" i="1"/>
  <c r="AU87" i="1"/>
  <c r="AM87" i="1"/>
  <c r="AG87" i="1"/>
  <c r="AC87" i="1"/>
  <c r="AI87" i="1"/>
  <c r="CX192" i="1"/>
  <c r="DB192" i="1" s="1"/>
  <c r="DF192" i="1" s="1"/>
  <c r="DH192" i="1"/>
  <c r="EU157" i="1"/>
  <c r="EG157" i="1"/>
  <c r="EI157" i="1"/>
  <c r="EM157" i="1" s="1"/>
  <c r="CX64" i="1"/>
  <c r="DB64" i="1" s="1"/>
  <c r="DF64" i="1" s="1"/>
  <c r="DH64" i="1"/>
  <c r="EG293" i="1"/>
  <c r="EW262" i="1"/>
  <c r="AQ208" i="1"/>
  <c r="AI175" i="1"/>
  <c r="AM86" i="1"/>
  <c r="AC35" i="1"/>
  <c r="AM45" i="1"/>
  <c r="AR114" i="1"/>
  <c r="AZ114" i="1" s="1"/>
  <c r="BY310" i="1"/>
  <c r="AU175" i="1"/>
  <c r="Y191" i="1"/>
  <c r="DB49" i="1"/>
  <c r="CH89" i="1"/>
  <c r="EV293" i="1"/>
  <c r="AM35" i="1"/>
  <c r="AQ35" i="1" s="1"/>
  <c r="V89" i="1"/>
  <c r="CR240" i="1"/>
  <c r="EJ293" i="1"/>
  <c r="EN293" i="1" s="1"/>
  <c r="EO310" i="1"/>
  <c r="EW135" i="1"/>
  <c r="AU151" i="1"/>
  <c r="DI50" i="1"/>
  <c r="DI52" i="1" s="1"/>
  <c r="DJ8" i="1"/>
  <c r="AG58" i="1"/>
  <c r="EU175" i="1"/>
  <c r="AY173" i="1"/>
  <c r="DF184" i="1"/>
  <c r="BT135" i="1"/>
  <c r="AM58" i="1"/>
  <c r="R142" i="1"/>
  <c r="AZ145" i="1"/>
  <c r="EG175" i="1"/>
  <c r="AQ297" i="1"/>
  <c r="AY297" i="1" s="1"/>
  <c r="O310" i="1"/>
  <c r="EG144" i="1"/>
  <c r="DP310" i="1"/>
  <c r="DT89" i="1"/>
  <c r="AJ8" i="1"/>
  <c r="AJ10" i="1" s="1"/>
  <c r="AJ57" i="1"/>
  <c r="AR19" i="1"/>
  <c r="R256" i="1"/>
  <c r="BF185" i="1"/>
  <c r="AH57" i="1"/>
  <c r="AR57" i="1" s="1"/>
  <c r="BS223" i="1"/>
  <c r="X186" i="1"/>
  <c r="CS238" i="1"/>
  <c r="X85" i="1"/>
  <c r="DK310" i="1"/>
  <c r="CO310" i="1"/>
  <c r="CN310" i="1"/>
  <c r="DJ173" i="1"/>
  <c r="DN173" i="1" s="1"/>
  <c r="DR173" i="1" s="1"/>
  <c r="DV173" i="1" s="1"/>
  <c r="DZ173" i="1" s="1"/>
  <c r="ED173" i="1" s="1"/>
  <c r="EV173" i="1" s="1"/>
  <c r="CQ33" i="1"/>
  <c r="AN57" i="1"/>
  <c r="CT217" i="1"/>
  <c r="CU59" i="1"/>
  <c r="AU97" i="1"/>
  <c r="AY97" i="1" s="1"/>
  <c r="AV57" i="1"/>
  <c r="AQ42" i="1"/>
  <c r="AR196" i="1"/>
  <c r="AZ196" i="1" s="1"/>
  <c r="AG144" i="1"/>
  <c r="AQ144" i="1" s="1"/>
  <c r="AH228" i="1"/>
  <c r="EJ229" i="1"/>
  <c r="EN229" i="1" s="1"/>
  <c r="CC310" i="1"/>
  <c r="AC144" i="1"/>
  <c r="AQ44" i="1"/>
  <c r="R107" i="1"/>
  <c r="R36" i="1"/>
  <c r="CG185" i="1"/>
  <c r="R260" i="1"/>
  <c r="AR237" i="1"/>
  <c r="X113" i="1"/>
  <c r="AU144" i="1"/>
  <c r="AI112" i="1"/>
  <c r="EV145" i="1"/>
  <c r="AI28" i="1"/>
  <c r="EL262" i="1"/>
  <c r="CF310" i="1"/>
  <c r="CF312" i="1" s="1"/>
  <c r="T310" i="1"/>
  <c r="AI144" i="1"/>
  <c r="AC112" i="1"/>
  <c r="M89" i="1"/>
  <c r="DA10" i="1"/>
  <c r="AC28" i="1"/>
  <c r="DE10" i="1"/>
  <c r="AR232" i="1"/>
  <c r="AQ252" i="1"/>
  <c r="W223" i="1"/>
  <c r="AQ204" i="1"/>
  <c r="AY204" i="1" s="1"/>
  <c r="L310" i="1"/>
  <c r="AG112" i="1"/>
  <c r="AQ112" i="1" s="1"/>
  <c r="AY112" i="1" s="1"/>
  <c r="Y59" i="1"/>
  <c r="EJ127" i="1"/>
  <c r="EN127" i="1" s="1"/>
  <c r="AG28" i="1"/>
  <c r="AI6" i="1"/>
  <c r="CV167" i="1"/>
  <c r="CT56" i="1"/>
  <c r="AG197" i="1"/>
  <c r="AI197" i="1"/>
  <c r="AM197" i="1"/>
  <c r="AC197" i="1"/>
  <c r="AU197" i="1"/>
  <c r="CW180" i="1"/>
  <c r="DA180" i="1" s="1"/>
  <c r="DE180" i="1" s="1"/>
  <c r="DG180" i="1"/>
  <c r="CW129" i="1"/>
  <c r="DA129" i="1" s="1"/>
  <c r="DE129" i="1" s="1"/>
  <c r="DG129" i="1"/>
  <c r="AU23" i="1"/>
  <c r="AM23" i="1"/>
  <c r="AG23" i="1"/>
  <c r="AC23" i="1"/>
  <c r="AI23" i="1"/>
  <c r="AQ92" i="1"/>
  <c r="AY92" i="1" s="1"/>
  <c r="DI291" i="1"/>
  <c r="DM291" i="1" s="1"/>
  <c r="DQ291" i="1" s="1"/>
  <c r="DU291" i="1" s="1"/>
  <c r="K310" i="1"/>
  <c r="Y253" i="1"/>
  <c r="AR259" i="1"/>
  <c r="AU220" i="1"/>
  <c r="AQ141" i="1"/>
  <c r="AZ157" i="1"/>
  <c r="BE157" i="1" s="1"/>
  <c r="AQ149" i="1"/>
  <c r="AR133" i="1"/>
  <c r="AR183" i="1"/>
  <c r="AZ183" i="1" s="1"/>
  <c r="BM183" i="1" s="1"/>
  <c r="BR183" i="1" s="1"/>
  <c r="AU116" i="1"/>
  <c r="AQ200" i="1"/>
  <c r="AR151" i="1"/>
  <c r="DC310" i="1"/>
  <c r="AR81" i="1"/>
  <c r="EG78" i="1"/>
  <c r="AQ41" i="1"/>
  <c r="AY41" i="1" s="1"/>
  <c r="AR45" i="1"/>
  <c r="AZ45" i="1" s="1"/>
  <c r="AQ28" i="1"/>
  <c r="Z6" i="1"/>
  <c r="AB6" i="1" s="1"/>
  <c r="AC6" i="1" s="1"/>
  <c r="V240" i="1"/>
  <c r="EQ310" i="1"/>
  <c r="DT223" i="1"/>
  <c r="CX184" i="1"/>
  <c r="DJ100" i="1"/>
  <c r="DN100" i="1" s="1"/>
  <c r="DR100" i="1" s="1"/>
  <c r="DV100" i="1" s="1"/>
  <c r="DZ100" i="1" s="1"/>
  <c r="ED100" i="1" s="1"/>
  <c r="X39" i="1"/>
  <c r="AV107" i="1"/>
  <c r="DG33" i="1"/>
  <c r="AR204" i="1"/>
  <c r="AZ204" i="1" s="1"/>
  <c r="DJ182" i="1"/>
  <c r="DN182" i="1" s="1"/>
  <c r="DR182" i="1" s="1"/>
  <c r="DV182" i="1" s="1"/>
  <c r="DZ182" i="1" s="1"/>
  <c r="AR202" i="1"/>
  <c r="AZ202" i="1" s="1"/>
  <c r="CA310" i="1"/>
  <c r="CA316" i="1" s="1"/>
  <c r="AR136" i="1"/>
  <c r="AZ136" i="1" s="1"/>
  <c r="AC38" i="1"/>
  <c r="AR9" i="1"/>
  <c r="AZ9" i="1" s="1"/>
  <c r="AF89" i="1"/>
  <c r="CT253" i="1"/>
  <c r="AI116" i="1"/>
  <c r="AR149" i="1"/>
  <c r="BZ310" i="1"/>
  <c r="AQ78" i="1"/>
  <c r="AG38" i="1"/>
  <c r="AG39" i="1" s="1"/>
  <c r="ED58" i="1"/>
  <c r="EJ58" i="1" s="1"/>
  <c r="EN58" i="1" s="1"/>
  <c r="EB310" i="1"/>
  <c r="BX310" i="1"/>
  <c r="AR229" i="1"/>
  <c r="AZ229" i="1" s="1"/>
  <c r="DR301" i="1"/>
  <c r="DV301" i="1" s="1"/>
  <c r="DD310" i="1"/>
  <c r="DI145" i="1"/>
  <c r="DM145" i="1" s="1"/>
  <c r="DQ145" i="1" s="1"/>
  <c r="DU145" i="1" s="1"/>
  <c r="DY145" i="1" s="1"/>
  <c r="EC145" i="1" s="1"/>
  <c r="EI145" i="1" s="1"/>
  <c r="EM145" i="1" s="1"/>
  <c r="AM247" i="1"/>
  <c r="DJ129" i="1"/>
  <c r="DN129" i="1" s="1"/>
  <c r="DR129" i="1" s="1"/>
  <c r="DV129" i="1" s="1"/>
  <c r="DZ129" i="1" s="1"/>
  <c r="ED129" i="1" s="1"/>
  <c r="EJ129" i="1" s="1"/>
  <c r="EN129" i="1" s="1"/>
  <c r="BI310" i="1"/>
  <c r="AC54" i="1"/>
  <c r="AM38" i="1"/>
  <c r="AM39" i="1" s="1"/>
  <c r="DA43" i="1"/>
  <c r="EG25" i="1"/>
  <c r="EV275" i="1"/>
  <c r="CH262" i="1"/>
  <c r="CH310" i="1" s="1"/>
  <c r="CH315" i="1" s="1"/>
  <c r="AK310" i="1"/>
  <c r="AC247" i="1"/>
  <c r="CG135" i="1"/>
  <c r="AG54" i="1"/>
  <c r="AU38" i="1"/>
  <c r="AU39" i="1" s="1"/>
  <c r="EU25" i="1"/>
  <c r="BG135" i="1"/>
  <c r="BS185" i="1"/>
  <c r="AR295" i="1"/>
  <c r="AZ295" i="1" s="1"/>
  <c r="EJ275" i="1"/>
  <c r="EN275" i="1" s="1"/>
  <c r="CL262" i="1"/>
  <c r="AG247" i="1"/>
  <c r="CR49" i="1"/>
  <c r="AM54" i="1"/>
  <c r="AQ54" i="1" s="1"/>
  <c r="AY54" i="1" s="1"/>
  <c r="AD39" i="1"/>
  <c r="AC39" i="1" s="1"/>
  <c r="BC310" i="1"/>
  <c r="Q262" i="1"/>
  <c r="X256" i="1"/>
  <c r="BH310" i="1"/>
  <c r="AI247" i="1"/>
  <c r="AJ205" i="1"/>
  <c r="AC189" i="1"/>
  <c r="CS62" i="1"/>
  <c r="AU54" i="1"/>
  <c r="AI58" i="1"/>
  <c r="AW310" i="1"/>
  <c r="ET310" i="1"/>
  <c r="AX310" i="1"/>
  <c r="AI300" i="1"/>
  <c r="AH308" i="1"/>
  <c r="CI310" i="1"/>
  <c r="AQ246" i="1"/>
  <c r="AY246" i="1" s="1"/>
  <c r="BD246" i="1" s="1"/>
  <c r="AR252" i="1"/>
  <c r="AZ252" i="1" s="1"/>
  <c r="DG243" i="1"/>
  <c r="BT223" i="1"/>
  <c r="AU250" i="1"/>
  <c r="AG189" i="1"/>
  <c r="AQ189" i="1" s="1"/>
  <c r="AY189" i="1" s="1"/>
  <c r="AR131" i="1"/>
  <c r="AS310" i="1"/>
  <c r="AQ77" i="1"/>
  <c r="AY77" i="1" s="1"/>
  <c r="AC58" i="1"/>
  <c r="AF185" i="1"/>
  <c r="CB310" i="1"/>
  <c r="CU182" i="1"/>
  <c r="AC250" i="1"/>
  <c r="S310" i="1"/>
  <c r="Y68" i="1"/>
  <c r="ER310" i="1"/>
  <c r="AQ58" i="1"/>
  <c r="AY58" i="1" s="1"/>
  <c r="BL58" i="1" s="1"/>
  <c r="BG89" i="1"/>
  <c r="U310" i="1"/>
  <c r="DG234" i="1"/>
  <c r="DI234" i="1" s="1"/>
  <c r="DM234" i="1" s="1"/>
  <c r="DQ234" i="1" s="1"/>
  <c r="DU234" i="1" s="1"/>
  <c r="DY234" i="1" s="1"/>
  <c r="EC234" i="1" s="1"/>
  <c r="AG250" i="1"/>
  <c r="DA134" i="1"/>
  <c r="EK89" i="1"/>
  <c r="AR153" i="1"/>
  <c r="AZ153" i="1" s="1"/>
  <c r="AR86" i="1"/>
  <c r="AQ45" i="1"/>
  <c r="R39" i="1"/>
  <c r="CJ310" i="1"/>
  <c r="BT262" i="1"/>
  <c r="DT240" i="1"/>
  <c r="EE310" i="1"/>
  <c r="AA310" i="1"/>
  <c r="AY252" i="1"/>
  <c r="BL252" i="1" s="1"/>
  <c r="DB184" i="1"/>
  <c r="AC220" i="1"/>
  <c r="AC116" i="1"/>
  <c r="AZ129" i="1"/>
  <c r="EV90" i="1"/>
  <c r="CP89" i="1"/>
  <c r="CP310" i="1" s="1"/>
  <c r="BV75" i="1"/>
  <c r="CS308" i="1"/>
  <c r="DO310" i="1"/>
  <c r="AZ246" i="1"/>
  <c r="BM246" i="1" s="1"/>
  <c r="BR246" i="1" s="1"/>
  <c r="AR230" i="1"/>
  <c r="AZ230" i="1" s="1"/>
  <c r="V262" i="1"/>
  <c r="N310" i="1"/>
  <c r="AR173" i="1"/>
  <c r="AZ173" i="1" s="1"/>
  <c r="CQ113" i="1"/>
  <c r="Y10" i="1"/>
  <c r="V223" i="1"/>
  <c r="M223" i="1"/>
  <c r="CU189" i="1"/>
  <c r="R228" i="1"/>
  <c r="BG185" i="1"/>
  <c r="DS135" i="1"/>
  <c r="DI106" i="1"/>
  <c r="DM106" i="1" s="1"/>
  <c r="DQ106" i="1" s="1"/>
  <c r="DU106" i="1" s="1"/>
  <c r="DY106" i="1" s="1"/>
  <c r="EC106" i="1" s="1"/>
  <c r="EU106" i="1" s="1"/>
  <c r="DA52" i="1"/>
  <c r="ED38" i="1"/>
  <c r="DZ39" i="1"/>
  <c r="CW246" i="1"/>
  <c r="DA246" i="1" s="1"/>
  <c r="DE246" i="1" s="1"/>
  <c r="DG246" i="1"/>
  <c r="DH216" i="1"/>
  <c r="CX216" i="1"/>
  <c r="DB216" i="1" s="1"/>
  <c r="DF216" i="1" s="1"/>
  <c r="CW252" i="1"/>
  <c r="DA252" i="1" s="1"/>
  <c r="DE252" i="1" s="1"/>
  <c r="DG252" i="1"/>
  <c r="CW70" i="1"/>
  <c r="DA70" i="1" s="1"/>
  <c r="DE70" i="1" s="1"/>
  <c r="DG70" i="1"/>
  <c r="EG302" i="1"/>
  <c r="EI302" i="1"/>
  <c r="EM302" i="1" s="1"/>
  <c r="EU302" i="1"/>
  <c r="BM264" i="1"/>
  <c r="BR264" i="1" s="1"/>
  <c r="BE264" i="1"/>
  <c r="EI300" i="1"/>
  <c r="EM300" i="1" s="1"/>
  <c r="EU300" i="1"/>
  <c r="EG300" i="1"/>
  <c r="CX247" i="1"/>
  <c r="DB247" i="1" s="1"/>
  <c r="DF247" i="1" s="1"/>
  <c r="DH247" i="1"/>
  <c r="DG211" i="1"/>
  <c r="CW211" i="1"/>
  <c r="DA211" i="1" s="1"/>
  <c r="DE211" i="1" s="1"/>
  <c r="DG94" i="1"/>
  <c r="CW94" i="1"/>
  <c r="DA94" i="1" s="1"/>
  <c r="DE94" i="1" s="1"/>
  <c r="CW55" i="1"/>
  <c r="DA55" i="1" s="1"/>
  <c r="DE55" i="1" s="1"/>
  <c r="DG55" i="1"/>
  <c r="DH153" i="1"/>
  <c r="CX153" i="1"/>
  <c r="DB153" i="1" s="1"/>
  <c r="DF153" i="1" s="1"/>
  <c r="DH242" i="1"/>
  <c r="DJ242" i="1" s="1"/>
  <c r="DN242" i="1" s="1"/>
  <c r="DR242" i="1" s="1"/>
  <c r="DV242" i="1" s="1"/>
  <c r="DZ242" i="1" s="1"/>
  <c r="ED242" i="1" s="1"/>
  <c r="CX242" i="1"/>
  <c r="DB242" i="1" s="1"/>
  <c r="DF242" i="1" s="1"/>
  <c r="DH55" i="1"/>
  <c r="DJ55" i="1" s="1"/>
  <c r="DN55" i="1" s="1"/>
  <c r="DR55" i="1" s="1"/>
  <c r="DV55" i="1" s="1"/>
  <c r="DZ55" i="1" s="1"/>
  <c r="ED55" i="1" s="1"/>
  <c r="CX55" i="1"/>
  <c r="DB55" i="1" s="1"/>
  <c r="DF55" i="1" s="1"/>
  <c r="CV56" i="1"/>
  <c r="DG48" i="1"/>
  <c r="CW48" i="1"/>
  <c r="DA48" i="1" s="1"/>
  <c r="DE48" i="1" s="1"/>
  <c r="EJ284" i="1"/>
  <c r="EN284" i="1" s="1"/>
  <c r="EV284" i="1"/>
  <c r="EH284" i="1"/>
  <c r="DH250" i="1"/>
  <c r="CX250" i="1"/>
  <c r="DB250" i="1" s="1"/>
  <c r="DF250" i="1" s="1"/>
  <c r="EH161" i="1"/>
  <c r="EV161" i="1"/>
  <c r="EJ161" i="1"/>
  <c r="EN161" i="1" s="1"/>
  <c r="DG154" i="1"/>
  <c r="CW154" i="1"/>
  <c r="DA154" i="1" s="1"/>
  <c r="DE154" i="1" s="1"/>
  <c r="DH190" i="1"/>
  <c r="CX190" i="1"/>
  <c r="DB190" i="1" s="1"/>
  <c r="DF190" i="1" s="1"/>
  <c r="DJ190" i="1" s="1"/>
  <c r="DN190" i="1" s="1"/>
  <c r="DR190" i="1" s="1"/>
  <c r="DV190" i="1" s="1"/>
  <c r="DZ190" i="1" s="1"/>
  <c r="ED190" i="1" s="1"/>
  <c r="AC244" i="1"/>
  <c r="AG244" i="1"/>
  <c r="AR297" i="1"/>
  <c r="AZ297" i="1" s="1"/>
  <c r="AR294" i="1"/>
  <c r="AZ294" i="1" s="1"/>
  <c r="BD287" i="1"/>
  <c r="CS213" i="1"/>
  <c r="EH229" i="1"/>
  <c r="AR182" i="1"/>
  <c r="AZ182" i="1" s="1"/>
  <c r="BM182" i="1" s="1"/>
  <c r="BR182" i="1" s="1"/>
  <c r="DJ177" i="1"/>
  <c r="DJ179" i="1" s="1"/>
  <c r="CV184" i="1"/>
  <c r="AR119" i="1"/>
  <c r="AZ119" i="1" s="1"/>
  <c r="BM119" i="1" s="1"/>
  <c r="BR119" i="1" s="1"/>
  <c r="AZ92" i="1"/>
  <c r="AM192" i="1"/>
  <c r="AC151" i="1"/>
  <c r="DG126" i="1"/>
  <c r="DI126" i="1" s="1"/>
  <c r="DM126" i="1" s="1"/>
  <c r="DQ126" i="1" s="1"/>
  <c r="DU126" i="1" s="1"/>
  <c r="DY126" i="1" s="1"/>
  <c r="EC126" i="1" s="1"/>
  <c r="EU126" i="1" s="1"/>
  <c r="AQ145" i="1"/>
  <c r="AQ198" i="1"/>
  <c r="AY198" i="1" s="1"/>
  <c r="DG189" i="1"/>
  <c r="DG191" i="1" s="1"/>
  <c r="AM158" i="1"/>
  <c r="AQ158" i="1" s="1"/>
  <c r="AG133" i="1"/>
  <c r="AQ133" i="1" s="1"/>
  <c r="AC118" i="1"/>
  <c r="AR103" i="1"/>
  <c r="AQ114" i="1"/>
  <c r="AY114" i="1" s="1"/>
  <c r="BA114" i="1" s="1"/>
  <c r="AQ90" i="1"/>
  <c r="AY90" i="1" s="1"/>
  <c r="BL90" i="1" s="1"/>
  <c r="CU83" i="1"/>
  <c r="AQ81" i="1"/>
  <c r="AY81" i="1" s="1"/>
  <c r="BD81" i="1" s="1"/>
  <c r="EI90" i="1"/>
  <c r="EM90" i="1" s="1"/>
  <c r="AZ70" i="1"/>
  <c r="BM70" i="1" s="1"/>
  <c r="BR70" i="1" s="1"/>
  <c r="BV70" i="1" s="1"/>
  <c r="BV71" i="1" s="1"/>
  <c r="BF89" i="1"/>
  <c r="DF40" i="1"/>
  <c r="DF43" i="1" s="1"/>
  <c r="CT34" i="1"/>
  <c r="CT36" i="1" s="1"/>
  <c r="CS16" i="1"/>
  <c r="EH95" i="1"/>
  <c r="AY12" i="1"/>
  <c r="BL12" i="1" s="1"/>
  <c r="AC9" i="1"/>
  <c r="AQ67" i="1"/>
  <c r="AY67" i="1" s="1"/>
  <c r="BD67" i="1" s="1"/>
  <c r="AR54" i="1"/>
  <c r="AZ54" i="1" s="1"/>
  <c r="BM54" i="1" s="1"/>
  <c r="BR54" i="1" s="1"/>
  <c r="BV54" i="1" s="1"/>
  <c r="BV56" i="1" s="1"/>
  <c r="EH31" i="1"/>
  <c r="AR42" i="1"/>
  <c r="AZ42" i="1" s="1"/>
  <c r="BM42" i="1" s="1"/>
  <c r="BR42" i="1" s="1"/>
  <c r="BV42" i="1" s="1"/>
  <c r="AQ38" i="1"/>
  <c r="AQ22" i="1"/>
  <c r="AY22" i="1" s="1"/>
  <c r="BL22" i="1" s="1"/>
  <c r="AG18" i="1"/>
  <c r="AM9" i="1"/>
  <c r="AQ6" i="1"/>
  <c r="AI294" i="1"/>
  <c r="AG294" i="1"/>
  <c r="CU233" i="1"/>
  <c r="DH214" i="1"/>
  <c r="CX214" i="1"/>
  <c r="DB214" i="1" s="1"/>
  <c r="DF214" i="1" s="1"/>
  <c r="AI234" i="1"/>
  <c r="AG234" i="1"/>
  <c r="AQ234" i="1" s="1"/>
  <c r="AU234" i="1"/>
  <c r="AC234" i="1"/>
  <c r="AI161" i="1"/>
  <c r="AU161" i="1"/>
  <c r="AG161" i="1"/>
  <c r="AQ161" i="1" s="1"/>
  <c r="AC161" i="1"/>
  <c r="AI227" i="1"/>
  <c r="AG227" i="1"/>
  <c r="AQ227" i="1" s="1"/>
  <c r="CV215" i="1"/>
  <c r="AI129" i="1"/>
  <c r="AG129" i="1"/>
  <c r="AI169" i="1"/>
  <c r="AC169" i="1"/>
  <c r="AU169" i="1"/>
  <c r="AG169" i="1"/>
  <c r="DF123" i="1"/>
  <c r="DB125" i="1"/>
  <c r="X99" i="1"/>
  <c r="R101" i="1"/>
  <c r="AI95" i="1"/>
  <c r="AU95" i="1"/>
  <c r="AC95" i="1"/>
  <c r="AN8" i="1"/>
  <c r="AV8" i="1"/>
  <c r="AV10" i="1" s="1"/>
  <c r="AH8" i="1"/>
  <c r="AH10" i="1" s="1"/>
  <c r="CU237" i="1"/>
  <c r="R235" i="1"/>
  <c r="BG310" i="1"/>
  <c r="CV248" i="1"/>
  <c r="CS223" i="1"/>
  <c r="DS89" i="1"/>
  <c r="CG89" i="1"/>
  <c r="AI229" i="1"/>
  <c r="AU229" i="1"/>
  <c r="AG229" i="1"/>
  <c r="AC229" i="1"/>
  <c r="AI170" i="1"/>
  <c r="AG170" i="1"/>
  <c r="CU56" i="1"/>
  <c r="DH246" i="1"/>
  <c r="CX246" i="1"/>
  <c r="DB246" i="1" s="1"/>
  <c r="DF246" i="1" s="1"/>
  <c r="AR291" i="1"/>
  <c r="AZ291" i="1" s="1"/>
  <c r="EU293" i="1"/>
  <c r="AZ258" i="1"/>
  <c r="BE258" i="1" s="1"/>
  <c r="AU298" i="1"/>
  <c r="AG300" i="1"/>
  <c r="AR245" i="1"/>
  <c r="AZ245" i="1" s="1"/>
  <c r="AN226" i="1"/>
  <c r="AM201" i="1"/>
  <c r="AQ201" i="1" s="1"/>
  <c r="DR230" i="1"/>
  <c r="DV230" i="1" s="1"/>
  <c r="AZ203" i="1"/>
  <c r="AR178" i="1"/>
  <c r="AZ178" i="1" s="1"/>
  <c r="BM178" i="1" s="1"/>
  <c r="BR178" i="1" s="1"/>
  <c r="DI152" i="1"/>
  <c r="DM152" i="1" s="1"/>
  <c r="DQ152" i="1" s="1"/>
  <c r="DU152" i="1" s="1"/>
  <c r="DY152" i="1" s="1"/>
  <c r="EC152" i="1" s="1"/>
  <c r="EG152" i="1" s="1"/>
  <c r="DA221" i="1"/>
  <c r="EL185" i="1"/>
  <c r="M185" i="1"/>
  <c r="CW247" i="1"/>
  <c r="DA247" i="1" s="1"/>
  <c r="DE247" i="1" s="1"/>
  <c r="DI247" i="1" s="1"/>
  <c r="DM247" i="1" s="1"/>
  <c r="DQ247" i="1" s="1"/>
  <c r="DU247" i="1" s="1"/>
  <c r="DY247" i="1" s="1"/>
  <c r="EC247" i="1" s="1"/>
  <c r="CK135" i="1"/>
  <c r="BS135" i="1"/>
  <c r="M135" i="1"/>
  <c r="AR97" i="1"/>
  <c r="AZ97" i="1" s="1"/>
  <c r="BM97" i="1" s="1"/>
  <c r="BR97" i="1" s="1"/>
  <c r="BV97" i="1" s="1"/>
  <c r="BV98" i="1" s="1"/>
  <c r="AQ155" i="1"/>
  <c r="EI303" i="1"/>
  <c r="EM303" i="1" s="1"/>
  <c r="AR301" i="1"/>
  <c r="AZ301" i="1" s="1"/>
  <c r="BE301" i="1" s="1"/>
  <c r="BE303" i="1"/>
  <c r="AZ298" i="1"/>
  <c r="AI296" i="1"/>
  <c r="AU296" i="1"/>
  <c r="M262" i="1"/>
  <c r="EI282" i="1"/>
  <c r="EM282" i="1" s="1"/>
  <c r="DT262" i="1"/>
  <c r="AC298" i="1"/>
  <c r="AI298" i="1"/>
  <c r="BD306" i="1"/>
  <c r="AM300" i="1"/>
  <c r="AQ300" i="1" s="1"/>
  <c r="AY300" i="1" s="1"/>
  <c r="AQ268" i="1"/>
  <c r="CS256" i="1"/>
  <c r="EY310" i="1"/>
  <c r="AE210" i="1"/>
  <c r="AB262" i="1"/>
  <c r="AV226" i="1"/>
  <c r="AV228" i="1" s="1"/>
  <c r="DL310" i="1"/>
  <c r="CV249" i="1"/>
  <c r="DH249" i="1" s="1"/>
  <c r="AR242" i="1"/>
  <c r="AZ242" i="1" s="1"/>
  <c r="BM242" i="1" s="1"/>
  <c r="BR242" i="1" s="1"/>
  <c r="X226" i="1"/>
  <c r="AI201" i="1"/>
  <c r="AU201" i="1"/>
  <c r="CG223" i="1"/>
  <c r="DT185" i="1"/>
  <c r="AR212" i="1"/>
  <c r="AZ212" i="1" s="1"/>
  <c r="AQ231" i="1"/>
  <c r="AY231" i="1" s="1"/>
  <c r="BL231" i="1" s="1"/>
  <c r="EK185" i="1"/>
  <c r="AM170" i="1"/>
  <c r="AQ170" i="1" s="1"/>
  <c r="AQ163" i="1"/>
  <c r="AY163" i="1" s="1"/>
  <c r="BD163" i="1" s="1"/>
  <c r="Q185" i="1"/>
  <c r="AU170" i="1"/>
  <c r="DE221" i="1"/>
  <c r="AU214" i="1"/>
  <c r="AG175" i="1"/>
  <c r="AQ175" i="1" s="1"/>
  <c r="AY175" i="1" s="1"/>
  <c r="AQ250" i="1"/>
  <c r="AQ129" i="1"/>
  <c r="BF135" i="1"/>
  <c r="CV99" i="1"/>
  <c r="AR130" i="1"/>
  <c r="AQ126" i="1"/>
  <c r="AR100" i="1"/>
  <c r="AZ100" i="1" s="1"/>
  <c r="DG165" i="1"/>
  <c r="DI165" i="1" s="1"/>
  <c r="DM165" i="1" s="1"/>
  <c r="DQ165" i="1" s="1"/>
  <c r="DU165" i="1" s="1"/>
  <c r="DY165" i="1" s="1"/>
  <c r="EC165" i="1" s="1"/>
  <c r="EG165" i="1" s="1"/>
  <c r="DF113" i="1"/>
  <c r="X105" i="1"/>
  <c r="AD105" i="1" s="1"/>
  <c r="AQ216" i="1"/>
  <c r="AY216" i="1" s="1"/>
  <c r="BL216" i="1" s="1"/>
  <c r="AG192" i="1"/>
  <c r="AQ190" i="1"/>
  <c r="AY190" i="1" s="1"/>
  <c r="BA190" i="1" s="1"/>
  <c r="AG151" i="1"/>
  <c r="AQ109" i="1"/>
  <c r="AY109" i="1" s="1"/>
  <c r="BD109" i="1" s="1"/>
  <c r="CL89" i="1"/>
  <c r="AR127" i="1"/>
  <c r="AZ127" i="1" s="1"/>
  <c r="BE127" i="1" s="1"/>
  <c r="W89" i="1"/>
  <c r="AU158" i="1"/>
  <c r="AM133" i="1"/>
  <c r="AG118" i="1"/>
  <c r="AQ118" i="1" s="1"/>
  <c r="AY118" i="1" s="1"/>
  <c r="AR116" i="1"/>
  <c r="CS43" i="1"/>
  <c r="X34" i="1"/>
  <c r="AD34" i="1" s="1"/>
  <c r="EG90" i="1"/>
  <c r="AQ128" i="1"/>
  <c r="AY128" i="1" s="1"/>
  <c r="EJ90" i="1"/>
  <c r="EN90" i="1" s="1"/>
  <c r="DE37" i="1"/>
  <c r="EV95" i="1"/>
  <c r="AQ64" i="1"/>
  <c r="AY64" i="1" s="1"/>
  <c r="BL64" i="1" s="1"/>
  <c r="AR28" i="1"/>
  <c r="AZ28" i="1" s="1"/>
  <c r="AR25" i="1"/>
  <c r="AR21" i="1"/>
  <c r="AZ21" i="1" s="1"/>
  <c r="AQ20" i="1"/>
  <c r="DZ24" i="1"/>
  <c r="DZ26" i="1" s="1"/>
  <c r="AR38" i="1"/>
  <c r="EV31" i="1"/>
  <c r="AR23" i="1"/>
  <c r="AZ23" i="1" s="1"/>
  <c r="BM23" i="1" s="1"/>
  <c r="BR23" i="1" s="1"/>
  <c r="BV23" i="1" s="1"/>
  <c r="AQ15" i="1"/>
  <c r="AY15" i="1" s="1"/>
  <c r="BL15" i="1" s="1"/>
  <c r="Y13" i="1"/>
  <c r="AG9" i="1"/>
  <c r="AM18" i="1"/>
  <c r="DG57" i="1"/>
  <c r="DQ15" i="1"/>
  <c r="DU15" i="1" s="1"/>
  <c r="EI9" i="1"/>
  <c r="EM9" i="1" s="1"/>
  <c r="AI293" i="1"/>
  <c r="AG293" i="1"/>
  <c r="AQ293" i="1" s="1"/>
  <c r="AY293" i="1" s="1"/>
  <c r="AJ289" i="1"/>
  <c r="AJ290" i="1" s="1"/>
  <c r="AN289" i="1"/>
  <c r="AN290" i="1" s="1"/>
  <c r="AE290" i="1"/>
  <c r="BL282" i="1"/>
  <c r="BQ282" i="1" s="1"/>
  <c r="BU282" i="1" s="1"/>
  <c r="BD282" i="1"/>
  <c r="DG158" i="1"/>
  <c r="CW158" i="1"/>
  <c r="DA158" i="1" s="1"/>
  <c r="DE158" i="1" s="1"/>
  <c r="DH154" i="1"/>
  <c r="CX154" i="1"/>
  <c r="DB154" i="1" s="1"/>
  <c r="DF154" i="1" s="1"/>
  <c r="CQ16" i="1"/>
  <c r="CT108" i="1"/>
  <c r="CT110" i="1" s="1"/>
  <c r="CR110" i="1"/>
  <c r="CT191" i="1"/>
  <c r="CU256" i="1"/>
  <c r="DI183" i="1"/>
  <c r="DM183" i="1" s="1"/>
  <c r="DQ183" i="1" s="1"/>
  <c r="DU183" i="1" s="1"/>
  <c r="DY183" i="1" s="1"/>
  <c r="EC183" i="1" s="1"/>
  <c r="DJ192" i="1"/>
  <c r="DN192" i="1" s="1"/>
  <c r="DR192" i="1" s="1"/>
  <c r="DV192" i="1" s="1"/>
  <c r="DZ192" i="1" s="1"/>
  <c r="ED192" i="1" s="1"/>
  <c r="EV192" i="1" s="1"/>
  <c r="DI129" i="1"/>
  <c r="DM129" i="1" s="1"/>
  <c r="DQ129" i="1" s="1"/>
  <c r="DU129" i="1" s="1"/>
  <c r="DY129" i="1" s="1"/>
  <c r="EC129" i="1" s="1"/>
  <c r="EI129" i="1" s="1"/>
  <c r="EM129" i="1" s="1"/>
  <c r="DJ64" i="1"/>
  <c r="DN64" i="1" s="1"/>
  <c r="DR64" i="1" s="1"/>
  <c r="DV64" i="1" s="1"/>
  <c r="DZ64" i="1" s="1"/>
  <c r="ED64" i="1" s="1"/>
  <c r="EH64" i="1" s="1"/>
  <c r="BW310" i="1"/>
  <c r="AM296" i="1"/>
  <c r="AQ296" i="1" s="1"/>
  <c r="CG262" i="1"/>
  <c r="EK262" i="1"/>
  <c r="AF262" i="1"/>
  <c r="AU244" i="1"/>
  <c r="W240" i="1"/>
  <c r="CS156" i="1"/>
  <c r="AQ206" i="1"/>
  <c r="AY206" i="1" s="1"/>
  <c r="BA206" i="1" s="1"/>
  <c r="AR148" i="1"/>
  <c r="AZ148" i="1" s="1"/>
  <c r="EU144" i="1"/>
  <c r="AM214" i="1"/>
  <c r="AC175" i="1"/>
  <c r="AR169" i="1"/>
  <c r="AZ169" i="1" s="1"/>
  <c r="BE169" i="1" s="1"/>
  <c r="AQ169" i="1"/>
  <c r="EK135" i="1"/>
  <c r="Q135" i="1"/>
  <c r="AC192" i="1"/>
  <c r="AI151" i="1"/>
  <c r="AR95" i="1"/>
  <c r="AZ95" i="1" s="1"/>
  <c r="BE95" i="1" s="1"/>
  <c r="BA303" i="1"/>
  <c r="AV308" i="1"/>
  <c r="AJ308" i="1"/>
  <c r="DJ297" i="1"/>
  <c r="DN297" i="1" s="1"/>
  <c r="DR297" i="1" s="1"/>
  <c r="DV297" i="1" s="1"/>
  <c r="AQ294" i="1"/>
  <c r="AY294" i="1" s="1"/>
  <c r="BL294" i="1" s="1"/>
  <c r="AZ270" i="1"/>
  <c r="BM270" i="1" s="1"/>
  <c r="BR270" i="1" s="1"/>
  <c r="CT271" i="1"/>
  <c r="AQ259" i="1"/>
  <c r="AY259" i="1" s="1"/>
  <c r="DS262" i="1"/>
  <c r="CS248" i="1"/>
  <c r="AZ251" i="1"/>
  <c r="BM251" i="1" s="1"/>
  <c r="BR251" i="1" s="1"/>
  <c r="CU207" i="1"/>
  <c r="CU209" i="1" s="1"/>
  <c r="AM244" i="1"/>
  <c r="AJ226" i="1"/>
  <c r="AJ228" i="1" s="1"/>
  <c r="AM229" i="1"/>
  <c r="AQ229" i="1" s="1"/>
  <c r="Q223" i="1"/>
  <c r="CU213" i="1"/>
  <c r="DS185" i="1"/>
  <c r="DS310" i="1" s="1"/>
  <c r="CR185" i="1"/>
  <c r="AH205" i="1"/>
  <c r="AZ206" i="1"/>
  <c r="BM206" i="1" s="1"/>
  <c r="BR206" i="1" s="1"/>
  <c r="AQ245" i="1"/>
  <c r="AY245" i="1" s="1"/>
  <c r="DH184" i="1"/>
  <c r="AY167" i="1"/>
  <c r="AQ220" i="1"/>
  <c r="AY220" i="1" s="1"/>
  <c r="BL220" i="1" s="1"/>
  <c r="W185" i="1"/>
  <c r="AC170" i="1"/>
  <c r="AC214" i="1"/>
  <c r="AR165" i="1"/>
  <c r="AZ165" i="1" s="1"/>
  <c r="AR161" i="1"/>
  <c r="AZ161" i="1" s="1"/>
  <c r="AR200" i="1"/>
  <c r="AQ182" i="1"/>
  <c r="CU172" i="1"/>
  <c r="CW172" i="1" s="1"/>
  <c r="DA172" i="1" s="1"/>
  <c r="DE172" i="1" s="1"/>
  <c r="AR170" i="1"/>
  <c r="AZ170" i="1" s="1"/>
  <c r="BM170" i="1" s="1"/>
  <c r="BR170" i="1" s="1"/>
  <c r="AR167" i="1"/>
  <c r="AZ167" i="1" s="1"/>
  <c r="BM167" i="1" s="1"/>
  <c r="BR167" i="1" s="1"/>
  <c r="DJ149" i="1"/>
  <c r="DN149" i="1" s="1"/>
  <c r="DR149" i="1" s="1"/>
  <c r="DV149" i="1" s="1"/>
  <c r="DZ149" i="1" s="1"/>
  <c r="ED149" i="1" s="1"/>
  <c r="EJ149" i="1" s="1"/>
  <c r="EN149" i="1" s="1"/>
  <c r="W135" i="1"/>
  <c r="AQ103" i="1"/>
  <c r="AY103" i="1" s="1"/>
  <c r="AI192" i="1"/>
  <c r="AY144" i="1"/>
  <c r="BL144" i="1" s="1"/>
  <c r="DJ132" i="1"/>
  <c r="DJ134" i="1" s="1"/>
  <c r="AY106" i="1"/>
  <c r="BL106" i="1" s="1"/>
  <c r="CV102" i="1"/>
  <c r="CX102" i="1" s="1"/>
  <c r="AB135" i="1"/>
  <c r="AZ176" i="1"/>
  <c r="EL89" i="1"/>
  <c r="AC158" i="1"/>
  <c r="AI133" i="1"/>
  <c r="AV79" i="1"/>
  <c r="DF62" i="1"/>
  <c r="AY19" i="1"/>
  <c r="BD19" i="1" s="1"/>
  <c r="DI10" i="1"/>
  <c r="AI18" i="1"/>
  <c r="AR6" i="1"/>
  <c r="AZ6" i="1" s="1"/>
  <c r="BE6" i="1" s="1"/>
  <c r="DH292" i="1"/>
  <c r="CX292" i="1"/>
  <c r="DB292" i="1" s="1"/>
  <c r="DF292" i="1" s="1"/>
  <c r="X236" i="1"/>
  <c r="R238" i="1"/>
  <c r="R240" i="1" s="1"/>
  <c r="R10" i="1"/>
  <c r="CS56" i="1"/>
  <c r="DQ8" i="1"/>
  <c r="DM10" i="1"/>
  <c r="CT60" i="1"/>
  <c r="CT62" i="1" s="1"/>
  <c r="EI304" i="1"/>
  <c r="EM304" i="1" s="1"/>
  <c r="EU304" i="1"/>
  <c r="EG304" i="1"/>
  <c r="EH277" i="1"/>
  <c r="EV277" i="1"/>
  <c r="EJ277" i="1"/>
  <c r="EN277" i="1" s="1"/>
  <c r="DN226" i="1"/>
  <c r="DH208" i="1"/>
  <c r="CX208" i="1"/>
  <c r="DB208" i="1" s="1"/>
  <c r="DF208" i="1" s="1"/>
  <c r="EI306" i="1"/>
  <c r="EM306" i="1" s="1"/>
  <c r="EU306" i="1"/>
  <c r="EG306" i="1"/>
  <c r="DG292" i="1"/>
  <c r="DI292" i="1" s="1"/>
  <c r="DM292" i="1" s="1"/>
  <c r="DQ292" i="1" s="1"/>
  <c r="DU292" i="1" s="1"/>
  <c r="DY292" i="1" s="1"/>
  <c r="EC292" i="1" s="1"/>
  <c r="CW292" i="1"/>
  <c r="DA292" i="1" s="1"/>
  <c r="DE292" i="1" s="1"/>
  <c r="EI280" i="1"/>
  <c r="EM280" i="1" s="1"/>
  <c r="EU280" i="1"/>
  <c r="EG280" i="1"/>
  <c r="BE270" i="1"/>
  <c r="CW294" i="1"/>
  <c r="DA294" i="1" s="1"/>
  <c r="DG294" i="1"/>
  <c r="DZ288" i="1"/>
  <c r="ED287" i="1"/>
  <c r="EH273" i="1"/>
  <c r="EV273" i="1"/>
  <c r="EJ273" i="1"/>
  <c r="EN273" i="1" s="1"/>
  <c r="DM241" i="1"/>
  <c r="CU228" i="1"/>
  <c r="DG227" i="1"/>
  <c r="CW227" i="1"/>
  <c r="BE251" i="1"/>
  <c r="DH172" i="1"/>
  <c r="CX172" i="1"/>
  <c r="DB172" i="1" s="1"/>
  <c r="DF172" i="1" s="1"/>
  <c r="EU128" i="1"/>
  <c r="EG128" i="1"/>
  <c r="EI128" i="1"/>
  <c r="EM128" i="1" s="1"/>
  <c r="DN88" i="1"/>
  <c r="BD144" i="1"/>
  <c r="DH84" i="1"/>
  <c r="CX84" i="1"/>
  <c r="DB84" i="1" s="1"/>
  <c r="DF84" i="1" s="1"/>
  <c r="EC19" i="1"/>
  <c r="DY24" i="1"/>
  <c r="DY26" i="1" s="1"/>
  <c r="DG47" i="1"/>
  <c r="CW47" i="1"/>
  <c r="DA47" i="1" s="1"/>
  <c r="DE47" i="1" s="1"/>
  <c r="EG35" i="1"/>
  <c r="EI35" i="1"/>
  <c r="EM35" i="1" s="1"/>
  <c r="EU35" i="1"/>
  <c r="CT240" i="1"/>
  <c r="EJ304" i="1"/>
  <c r="EN304" i="1" s="1"/>
  <c r="EV304" i="1"/>
  <c r="EH304" i="1"/>
  <c r="DH291" i="1"/>
  <c r="CX291" i="1"/>
  <c r="DB291" i="1" s="1"/>
  <c r="DF291" i="1" s="1"/>
  <c r="CW295" i="1"/>
  <c r="DA295" i="1" s="1"/>
  <c r="DE295" i="1" s="1"/>
  <c r="DG295" i="1"/>
  <c r="DH212" i="1"/>
  <c r="DH213" i="1" s="1"/>
  <c r="CX212" i="1"/>
  <c r="CV213" i="1"/>
  <c r="EJ206" i="1"/>
  <c r="EN206" i="1" s="1"/>
  <c r="EV206" i="1"/>
  <c r="EH206" i="1"/>
  <c r="CW176" i="1"/>
  <c r="DA176" i="1" s="1"/>
  <c r="DE176" i="1" s="1"/>
  <c r="DG176" i="1"/>
  <c r="EJ44" i="1"/>
  <c r="EN44" i="1" s="1"/>
  <c r="EV44" i="1"/>
  <c r="EH44" i="1"/>
  <c r="CU68" i="1"/>
  <c r="DG67" i="1"/>
  <c r="CW67" i="1"/>
  <c r="DZ29" i="1"/>
  <c r="ED28" i="1"/>
  <c r="EI276" i="1"/>
  <c r="EM276" i="1" s="1"/>
  <c r="EG276" i="1"/>
  <c r="EU276" i="1"/>
  <c r="DG231" i="1"/>
  <c r="CW231" i="1"/>
  <c r="DA231" i="1" s="1"/>
  <c r="DE231" i="1" s="1"/>
  <c r="DG214" i="1"/>
  <c r="CW214" i="1"/>
  <c r="DA214" i="1" s="1"/>
  <c r="DE214" i="1" s="1"/>
  <c r="DR197" i="1"/>
  <c r="DV197" i="1" s="1"/>
  <c r="ED197" i="1"/>
  <c r="DH180" i="1"/>
  <c r="CX180" i="1"/>
  <c r="DB180" i="1" s="1"/>
  <c r="DF180" i="1" s="1"/>
  <c r="EV129" i="1"/>
  <c r="DN112" i="1"/>
  <c r="DR112" i="1" s="1"/>
  <c r="DV112" i="1" s="1"/>
  <c r="DZ112" i="1" s="1"/>
  <c r="DJ113" i="1"/>
  <c r="BM92" i="1"/>
  <c r="BR92" i="1" s="1"/>
  <c r="BV92" i="1" s="1"/>
  <c r="BV93" i="1" s="1"/>
  <c r="BE92" i="1"/>
  <c r="CW61" i="1"/>
  <c r="DA61" i="1" s="1"/>
  <c r="DE61" i="1" s="1"/>
  <c r="DG61" i="1"/>
  <c r="EV203" i="1"/>
  <c r="EH203" i="1"/>
  <c r="EJ203" i="1"/>
  <c r="EN203" i="1" s="1"/>
  <c r="DG118" i="1"/>
  <c r="CW118" i="1"/>
  <c r="DN66" i="1"/>
  <c r="EJ299" i="1"/>
  <c r="EN299" i="1" s="1"/>
  <c r="EV299" i="1"/>
  <c r="EH299" i="1"/>
  <c r="BN305" i="1"/>
  <c r="BQ305" i="1"/>
  <c r="BU305" i="1" s="1"/>
  <c r="BN303" i="1"/>
  <c r="BQ303" i="1"/>
  <c r="BU303" i="1" s="1"/>
  <c r="DH295" i="1"/>
  <c r="CX295" i="1"/>
  <c r="DB295" i="1" s="1"/>
  <c r="DF295" i="1" s="1"/>
  <c r="DN309" i="1"/>
  <c r="EI285" i="1"/>
  <c r="EM285" i="1" s="1"/>
  <c r="EG285" i="1"/>
  <c r="EU285" i="1"/>
  <c r="DA290" i="1"/>
  <c r="DE289" i="1"/>
  <c r="X302" i="1"/>
  <c r="R308" i="1"/>
  <c r="DI307" i="1"/>
  <c r="DG296" i="1"/>
  <c r="CW296" i="1"/>
  <c r="DA296" i="1" s="1"/>
  <c r="DE296" i="1" s="1"/>
  <c r="AI299" i="1"/>
  <c r="AU299" i="1"/>
  <c r="AM299" i="1"/>
  <c r="AQ299" i="1" s="1"/>
  <c r="AG299" i="1"/>
  <c r="AC299" i="1"/>
  <c r="DH296" i="1"/>
  <c r="CX296" i="1"/>
  <c r="DB296" i="1" s="1"/>
  <c r="DF296" i="1" s="1"/>
  <c r="DG272" i="1"/>
  <c r="CU286" i="1"/>
  <c r="CU288" i="1" s="1"/>
  <c r="CW272" i="1"/>
  <c r="BM285" i="1"/>
  <c r="BR285" i="1" s="1"/>
  <c r="BV285" i="1" s="1"/>
  <c r="BE285" i="1"/>
  <c r="EI278" i="1"/>
  <c r="EM278" i="1" s="1"/>
  <c r="EU278" i="1"/>
  <c r="EG278" i="1"/>
  <c r="CQ265" i="1"/>
  <c r="CS263" i="1"/>
  <c r="CS265" i="1" s="1"/>
  <c r="BM275" i="1"/>
  <c r="BR275" i="1" s="1"/>
  <c r="BV275" i="1" s="1"/>
  <c r="BE275" i="1"/>
  <c r="AJ263" i="1"/>
  <c r="AJ265" i="1" s="1"/>
  <c r="AE265" i="1"/>
  <c r="AV263" i="1"/>
  <c r="AV265" i="1" s="1"/>
  <c r="AH263" i="1"/>
  <c r="AH265" i="1" s="1"/>
  <c r="AN263" i="1"/>
  <c r="AI258" i="1"/>
  <c r="AG258" i="1"/>
  <c r="AU258" i="1"/>
  <c r="AM258" i="1"/>
  <c r="AC258" i="1"/>
  <c r="EH274" i="1"/>
  <c r="EJ274" i="1"/>
  <c r="EN274" i="1" s="1"/>
  <c r="EV274" i="1"/>
  <c r="AI264" i="1"/>
  <c r="AU264" i="1"/>
  <c r="AM264" i="1"/>
  <c r="AQ264" i="1" s="1"/>
  <c r="AG264" i="1"/>
  <c r="AC264" i="1"/>
  <c r="CQ271" i="1"/>
  <c r="CS266" i="1"/>
  <c r="CU261" i="1"/>
  <c r="BQ306" i="1"/>
  <c r="BU306" i="1" s="1"/>
  <c r="BN306" i="1"/>
  <c r="EH278" i="1"/>
  <c r="EJ278" i="1"/>
  <c r="EN278" i="1" s="1"/>
  <c r="EV278" i="1"/>
  <c r="CV286" i="1"/>
  <c r="CV288" i="1" s="1"/>
  <c r="DH272" i="1"/>
  <c r="DH286" i="1" s="1"/>
  <c r="DH288" i="1" s="1"/>
  <c r="CX272" i="1"/>
  <c r="AG255" i="1"/>
  <c r="AU255" i="1"/>
  <c r="AM255" i="1"/>
  <c r="AC255" i="1"/>
  <c r="AI255" i="1"/>
  <c r="BQ285" i="1"/>
  <c r="BU285" i="1" s="1"/>
  <c r="BM286" i="1"/>
  <c r="BM288" i="1" s="1"/>
  <c r="BR272" i="1"/>
  <c r="AJ210" i="1"/>
  <c r="AJ213" i="1" s="1"/>
  <c r="AE213" i="1"/>
  <c r="AN210" i="1"/>
  <c r="AV210" i="1"/>
  <c r="AV213" i="1" s="1"/>
  <c r="AH210" i="1"/>
  <c r="AH213" i="1" s="1"/>
  <c r="EJ232" i="1"/>
  <c r="EN232" i="1" s="1"/>
  <c r="EH232" i="1"/>
  <c r="EV232" i="1"/>
  <c r="EU232" i="1"/>
  <c r="EG232" i="1"/>
  <c r="EI232" i="1"/>
  <c r="EM232" i="1" s="1"/>
  <c r="X222" i="1"/>
  <c r="CV209" i="1"/>
  <c r="DH207" i="1"/>
  <c r="CX207" i="1"/>
  <c r="X239" i="1"/>
  <c r="DM199" i="1"/>
  <c r="DI205" i="1"/>
  <c r="BQ278" i="1"/>
  <c r="BU278" i="1" s="1"/>
  <c r="BR207" i="1"/>
  <c r="CU187" i="1"/>
  <c r="CW186" i="1"/>
  <c r="DG186" i="1"/>
  <c r="CU164" i="1"/>
  <c r="CW162" i="1"/>
  <c r="DG162" i="1"/>
  <c r="EI204" i="1"/>
  <c r="EM204" i="1" s="1"/>
  <c r="EU204" i="1"/>
  <c r="EG204" i="1"/>
  <c r="EJ196" i="1"/>
  <c r="EN196" i="1" s="1"/>
  <c r="EV196" i="1"/>
  <c r="EH196" i="1"/>
  <c r="CU160" i="1"/>
  <c r="DG159" i="1"/>
  <c r="CW159" i="1"/>
  <c r="EJ230" i="1"/>
  <c r="EN230" i="1" s="1"/>
  <c r="EV230" i="1"/>
  <c r="EH230" i="1"/>
  <c r="AN205" i="1"/>
  <c r="AR199" i="1"/>
  <c r="CW192" i="1"/>
  <c r="DA192" i="1" s="1"/>
  <c r="DE192" i="1" s="1"/>
  <c r="DG192" i="1"/>
  <c r="CW167" i="1"/>
  <c r="CU168" i="1"/>
  <c r="DG167" i="1"/>
  <c r="CW155" i="1"/>
  <c r="DA155" i="1" s="1"/>
  <c r="DE155" i="1" s="1"/>
  <c r="DG155" i="1"/>
  <c r="EV140" i="1"/>
  <c r="EH140" i="1"/>
  <c r="EJ140" i="1"/>
  <c r="BM190" i="1"/>
  <c r="BR190" i="1" s="1"/>
  <c r="BE190" i="1"/>
  <c r="EU170" i="1"/>
  <c r="EG170" i="1"/>
  <c r="EI170" i="1"/>
  <c r="EM170" i="1" s="1"/>
  <c r="ED163" i="1"/>
  <c r="DZ164" i="1"/>
  <c r="AU152" i="1"/>
  <c r="AM152" i="1"/>
  <c r="AG152" i="1"/>
  <c r="AC152" i="1"/>
  <c r="AI152" i="1"/>
  <c r="AU150" i="1"/>
  <c r="AM150" i="1"/>
  <c r="AG150" i="1"/>
  <c r="AC150" i="1"/>
  <c r="AI150" i="1"/>
  <c r="CR107" i="1"/>
  <c r="CT105" i="1"/>
  <c r="CT107" i="1" s="1"/>
  <c r="R191" i="1"/>
  <c r="X188" i="1"/>
  <c r="R160" i="1"/>
  <c r="X159" i="1"/>
  <c r="DH150" i="1"/>
  <c r="CX150" i="1"/>
  <c r="DB150" i="1" s="1"/>
  <c r="DF150" i="1" s="1"/>
  <c r="BL173" i="1"/>
  <c r="BD173" i="1"/>
  <c r="ED170" i="1"/>
  <c r="DR170" i="1"/>
  <c r="DV170" i="1" s="1"/>
  <c r="AU148" i="1"/>
  <c r="AM148" i="1"/>
  <c r="AG148" i="1"/>
  <c r="AC148" i="1"/>
  <c r="AI148" i="1"/>
  <c r="DM141" i="1"/>
  <c r="DI142" i="1"/>
  <c r="AV96" i="1"/>
  <c r="AV98" i="1" s="1"/>
  <c r="AN96" i="1"/>
  <c r="AH96" i="1"/>
  <c r="AH98" i="1" s="1"/>
  <c r="AJ96" i="1"/>
  <c r="AJ98" i="1" s="1"/>
  <c r="AE98" i="1"/>
  <c r="AV181" i="1"/>
  <c r="AV184" i="1" s="1"/>
  <c r="AN181" i="1"/>
  <c r="AH181" i="1"/>
  <c r="AH184" i="1" s="1"/>
  <c r="AJ181" i="1"/>
  <c r="AJ184" i="1" s="1"/>
  <c r="AE184" i="1"/>
  <c r="DF165" i="1"/>
  <c r="DN165" i="1"/>
  <c r="DB139" i="1"/>
  <c r="DF138" i="1"/>
  <c r="DF139" i="1" s="1"/>
  <c r="CV101" i="1"/>
  <c r="CX99" i="1"/>
  <c r="DH99" i="1"/>
  <c r="X142" i="1"/>
  <c r="AD140" i="1"/>
  <c r="AE137" i="1"/>
  <c r="Y139" i="1"/>
  <c r="CW108" i="1"/>
  <c r="DG108" i="1"/>
  <c r="AU100" i="1"/>
  <c r="AM100" i="1"/>
  <c r="AG100" i="1"/>
  <c r="AC100" i="1"/>
  <c r="AI100" i="1"/>
  <c r="ED87" i="1"/>
  <c r="DR87" i="1"/>
  <c r="DV87" i="1" s="1"/>
  <c r="AE83" i="1"/>
  <c r="Y85" i="1"/>
  <c r="AR187" i="1"/>
  <c r="X102" i="1"/>
  <c r="R104" i="1"/>
  <c r="EC130" i="1"/>
  <c r="DQ130" i="1"/>
  <c r="DU130" i="1" s="1"/>
  <c r="EC127" i="1"/>
  <c r="DQ127" i="1"/>
  <c r="DU127" i="1" s="1"/>
  <c r="EI95" i="1"/>
  <c r="EM95" i="1" s="1"/>
  <c r="EU95" i="1"/>
  <c r="EG95" i="1"/>
  <c r="BO88" i="1"/>
  <c r="X72" i="1"/>
  <c r="R75" i="1"/>
  <c r="EJ169" i="1"/>
  <c r="EN169" i="1" s="1"/>
  <c r="EV169" i="1"/>
  <c r="EH169" i="1"/>
  <c r="EV144" i="1"/>
  <c r="EH144" i="1"/>
  <c r="EJ144" i="1"/>
  <c r="EN144" i="1" s="1"/>
  <c r="AD137" i="1"/>
  <c r="X139" i="1"/>
  <c r="AJ91" i="1"/>
  <c r="AJ93" i="1" s="1"/>
  <c r="AV91" i="1"/>
  <c r="AV93" i="1" s="1"/>
  <c r="AH91" i="1"/>
  <c r="AH93" i="1" s="1"/>
  <c r="AE93" i="1"/>
  <c r="AN91" i="1"/>
  <c r="DF80" i="1"/>
  <c r="DB82" i="1"/>
  <c r="AE166" i="1"/>
  <c r="Y168" i="1"/>
  <c r="CQ146" i="1"/>
  <c r="CQ185" i="1" s="1"/>
  <c r="CS143" i="1"/>
  <c r="CS146" i="1" s="1"/>
  <c r="AN115" i="1"/>
  <c r="AH115" i="1"/>
  <c r="AH117" i="1" s="1"/>
  <c r="AJ115" i="1"/>
  <c r="AJ117" i="1" s="1"/>
  <c r="AE117" i="1"/>
  <c r="CR98" i="1"/>
  <c r="CT96" i="1"/>
  <c r="CT98" i="1" s="1"/>
  <c r="R71" i="1"/>
  <c r="X69" i="1"/>
  <c r="DB16" i="1"/>
  <c r="DF14" i="1"/>
  <c r="AR76" i="1"/>
  <c r="AN79" i="1"/>
  <c r="AV72" i="1"/>
  <c r="AV75" i="1" s="1"/>
  <c r="AN72" i="1"/>
  <c r="AH72" i="1"/>
  <c r="AH75" i="1" s="1"/>
  <c r="AE75" i="1"/>
  <c r="AJ72" i="1"/>
  <c r="AJ75" i="1" s="1"/>
  <c r="X60" i="1"/>
  <c r="R62" i="1"/>
  <c r="AV50" i="1"/>
  <c r="AV52" i="1" s="1"/>
  <c r="AN50" i="1"/>
  <c r="AH50" i="1"/>
  <c r="AH52" i="1" s="1"/>
  <c r="AE52" i="1"/>
  <c r="AJ50" i="1"/>
  <c r="AJ52" i="1" s="1"/>
  <c r="EV45" i="1"/>
  <c r="EH45" i="1"/>
  <c r="EJ45" i="1"/>
  <c r="EN45" i="1" s="1"/>
  <c r="DF17" i="1"/>
  <c r="DB24" i="1"/>
  <c r="DB26" i="1" s="1"/>
  <c r="AE13" i="1"/>
  <c r="AJ11" i="1"/>
  <c r="AV11" i="1"/>
  <c r="AH11" i="1"/>
  <c r="AN11" i="1"/>
  <c r="EV92" i="1"/>
  <c r="EH92" i="1"/>
  <c r="EJ92" i="1"/>
  <c r="EN92" i="1" s="1"/>
  <c r="R49" i="1"/>
  <c r="X46" i="1"/>
  <c r="AQ39" i="1"/>
  <c r="AY37" i="1"/>
  <c r="EV35" i="1"/>
  <c r="EH35" i="1"/>
  <c r="EJ35" i="1"/>
  <c r="EN35" i="1" s="1"/>
  <c r="X27" i="1"/>
  <c r="R29" i="1"/>
  <c r="BN74" i="1"/>
  <c r="BQ74" i="1"/>
  <c r="BU74" i="1" s="1"/>
  <c r="EU22" i="1"/>
  <c r="EG22" i="1"/>
  <c r="EI22" i="1"/>
  <c r="EM22" i="1" s="1"/>
  <c r="AI66" i="1"/>
  <c r="AI68" i="1" s="1"/>
  <c r="AD68" i="1"/>
  <c r="AC68" i="1" s="1"/>
  <c r="AU66" i="1"/>
  <c r="AU68" i="1" s="1"/>
  <c r="AM66" i="1"/>
  <c r="AG66" i="1"/>
  <c r="AG68" i="1" s="1"/>
  <c r="AC66" i="1"/>
  <c r="DZ52" i="1"/>
  <c r="ED51" i="1"/>
  <c r="DG56" i="1"/>
  <c r="EI31" i="1"/>
  <c r="EM31" i="1" s="1"/>
  <c r="EU31" i="1"/>
  <c r="EG31" i="1"/>
  <c r="DB7" i="1"/>
  <c r="DF5" i="1"/>
  <c r="EH58" i="1"/>
  <c r="AD57" i="1"/>
  <c r="X59" i="1"/>
  <c r="DZ7" i="1"/>
  <c r="ED6" i="1"/>
  <c r="AN7" i="1"/>
  <c r="AR5" i="1"/>
  <c r="CK310" i="1"/>
  <c r="AN308" i="1"/>
  <c r="CQ308" i="1"/>
  <c r="DJ300" i="1"/>
  <c r="DN300" i="1" s="1"/>
  <c r="AR300" i="1"/>
  <c r="AZ300" i="1" s="1"/>
  <c r="AQ301" i="1"/>
  <c r="AY301" i="1" s="1"/>
  <c r="AZ292" i="1"/>
  <c r="BA292" i="1" s="1"/>
  <c r="AQ298" i="1"/>
  <c r="AZ302" i="1"/>
  <c r="AQ270" i="1"/>
  <c r="AY270" i="1" s="1"/>
  <c r="Y235" i="1"/>
  <c r="Y240" i="1" s="1"/>
  <c r="DI258" i="1"/>
  <c r="DM258" i="1" s="1"/>
  <c r="DQ258" i="1" s="1"/>
  <c r="DU258" i="1" s="1"/>
  <c r="DY258" i="1" s="1"/>
  <c r="EC258" i="1" s="1"/>
  <c r="AQ237" i="1"/>
  <c r="AY237" i="1" s="1"/>
  <c r="AR247" i="1"/>
  <c r="AZ247" i="1" s="1"/>
  <c r="DJ234" i="1"/>
  <c r="DN234" i="1" s="1"/>
  <c r="DR234" i="1" s="1"/>
  <c r="DV234" i="1" s="1"/>
  <c r="DZ234" i="1" s="1"/>
  <c r="ED234" i="1" s="1"/>
  <c r="CV227" i="1"/>
  <c r="AQ251" i="1"/>
  <c r="AY251" i="1" s="1"/>
  <c r="AR216" i="1"/>
  <c r="AZ216" i="1" s="1"/>
  <c r="AR219" i="1"/>
  <c r="AZ219" i="1" s="1"/>
  <c r="CQ221" i="1"/>
  <c r="CQ223" i="1" s="1"/>
  <c r="AZ214" i="1"/>
  <c r="AR175" i="1"/>
  <c r="AZ175" i="1" s="1"/>
  <c r="DI150" i="1"/>
  <c r="DM150" i="1" s="1"/>
  <c r="DQ150" i="1" s="1"/>
  <c r="DU150" i="1" s="1"/>
  <c r="DY150" i="1" s="1"/>
  <c r="EC150" i="1" s="1"/>
  <c r="AQ219" i="1"/>
  <c r="AY219" i="1" s="1"/>
  <c r="CU99" i="1"/>
  <c r="AQ212" i="1"/>
  <c r="AY212" i="1" s="1"/>
  <c r="DE195" i="1"/>
  <c r="AQ176" i="1"/>
  <c r="AY176" i="1" s="1"/>
  <c r="AR154" i="1"/>
  <c r="AZ154" i="1" s="1"/>
  <c r="AR144" i="1"/>
  <c r="AZ144" i="1" s="1"/>
  <c r="DJ151" i="1"/>
  <c r="DN151" i="1" s="1"/>
  <c r="DR151" i="1" s="1"/>
  <c r="DV151" i="1" s="1"/>
  <c r="DZ151" i="1" s="1"/>
  <c r="ED151" i="1" s="1"/>
  <c r="DT135" i="1"/>
  <c r="AR94" i="1"/>
  <c r="AZ94" i="1" s="1"/>
  <c r="V135" i="1"/>
  <c r="AQ151" i="1"/>
  <c r="AY151" i="1" s="1"/>
  <c r="DJ128" i="1"/>
  <c r="DN128" i="1" s="1"/>
  <c r="DR128" i="1" s="1"/>
  <c r="DV128" i="1" s="1"/>
  <c r="DZ128" i="1" s="1"/>
  <c r="ED128" i="1" s="1"/>
  <c r="AQ136" i="1"/>
  <c r="AY136" i="1" s="1"/>
  <c r="AQ116" i="1"/>
  <c r="AR109" i="1"/>
  <c r="AZ109" i="1" s="1"/>
  <c r="AQ127" i="1"/>
  <c r="AY127" i="1" s="1"/>
  <c r="AQ211" i="1"/>
  <c r="AY211" i="1" s="1"/>
  <c r="AR163" i="1"/>
  <c r="AZ163" i="1" s="1"/>
  <c r="AR138" i="1"/>
  <c r="AZ138" i="1" s="1"/>
  <c r="DI123" i="1"/>
  <c r="AR126" i="1"/>
  <c r="AZ126" i="1" s="1"/>
  <c r="DJ46" i="1"/>
  <c r="AQ86" i="1"/>
  <c r="AY86" i="1" s="1"/>
  <c r="DB62" i="1"/>
  <c r="CQ43" i="1"/>
  <c r="DI55" i="1"/>
  <c r="DM55" i="1" s="1"/>
  <c r="DQ55" i="1" s="1"/>
  <c r="DU55" i="1" s="1"/>
  <c r="DY55" i="1" s="1"/>
  <c r="EC55" i="1" s="1"/>
  <c r="AQ51" i="1"/>
  <c r="AY51" i="1" s="1"/>
  <c r="DJ29" i="1"/>
  <c r="AR18" i="1"/>
  <c r="AZ18" i="1" s="1"/>
  <c r="Y16" i="1"/>
  <c r="AR22" i="1"/>
  <c r="AZ22" i="1" s="1"/>
  <c r="BA22" i="1" s="1"/>
  <c r="AQ21" i="1"/>
  <c r="AY21" i="1" s="1"/>
  <c r="CU69" i="1"/>
  <c r="DA24" i="1"/>
  <c r="DA26" i="1" s="1"/>
  <c r="AV59" i="1"/>
  <c r="AQ18" i="1"/>
  <c r="DI11" i="1"/>
  <c r="AR51" i="1"/>
  <c r="AZ51" i="1" s="1"/>
  <c r="AH7" i="1"/>
  <c r="EJ306" i="1"/>
  <c r="EN306" i="1" s="1"/>
  <c r="EV306" i="1"/>
  <c r="EH306" i="1"/>
  <c r="BL307" i="1"/>
  <c r="BD307" i="1"/>
  <c r="DJ307" i="1"/>
  <c r="DQ301" i="1"/>
  <c r="DU301" i="1" s="1"/>
  <c r="EC301" i="1"/>
  <c r="DF289" i="1"/>
  <c r="DB290" i="1"/>
  <c r="BM298" i="1"/>
  <c r="BR298" i="1" s="1"/>
  <c r="BE298" i="1"/>
  <c r="AY286" i="1"/>
  <c r="AY288" i="1" s="1"/>
  <c r="BL272" i="1"/>
  <c r="BA272" i="1"/>
  <c r="BA286" i="1" s="1"/>
  <c r="BA288" i="1" s="1"/>
  <c r="BD272" i="1"/>
  <c r="BD286" i="1" s="1"/>
  <c r="BD288" i="1" s="1"/>
  <c r="BD294" i="1"/>
  <c r="EJ283" i="1"/>
  <c r="EN283" i="1" s="1"/>
  <c r="EV283" i="1"/>
  <c r="EH283" i="1"/>
  <c r="EU281" i="1"/>
  <c r="EG281" i="1"/>
  <c r="EI281" i="1"/>
  <c r="EM281" i="1" s="1"/>
  <c r="BD275" i="1"/>
  <c r="BL275" i="1"/>
  <c r="BA275" i="1"/>
  <c r="EI274" i="1"/>
  <c r="EM274" i="1" s="1"/>
  <c r="EU274" i="1"/>
  <c r="EG274" i="1"/>
  <c r="EH281" i="1"/>
  <c r="EV281" i="1"/>
  <c r="EJ281" i="1"/>
  <c r="EN281" i="1" s="1"/>
  <c r="EV280" i="1"/>
  <c r="EJ280" i="1"/>
  <c r="EN280" i="1" s="1"/>
  <c r="EH280" i="1"/>
  <c r="BM277" i="1"/>
  <c r="BR277" i="1" s="1"/>
  <c r="BV277" i="1" s="1"/>
  <c r="BE277" i="1"/>
  <c r="DB261" i="1"/>
  <c r="CW259" i="1"/>
  <c r="DA259" i="1" s="1"/>
  <c r="DE259" i="1" s="1"/>
  <c r="DG259" i="1"/>
  <c r="BQ304" i="1"/>
  <c r="BU304" i="1" s="1"/>
  <c r="BN304" i="1"/>
  <c r="EJ254" i="1"/>
  <c r="EH254" i="1"/>
  <c r="EV254" i="1"/>
  <c r="AR261" i="1"/>
  <c r="AV257" i="1"/>
  <c r="AV260" i="1" s="1"/>
  <c r="AN257" i="1"/>
  <c r="AH257" i="1"/>
  <c r="AH260" i="1" s="1"/>
  <c r="AJ257" i="1"/>
  <c r="AJ260" i="1" s="1"/>
  <c r="AE260" i="1"/>
  <c r="CT254" i="1"/>
  <c r="CT256" i="1" s="1"/>
  <c r="CR256" i="1"/>
  <c r="AI242" i="1"/>
  <c r="AU242" i="1"/>
  <c r="AM242" i="1"/>
  <c r="AG242" i="1"/>
  <c r="AC242" i="1"/>
  <c r="AZ225" i="1"/>
  <c r="BM224" i="1"/>
  <c r="BE224" i="1"/>
  <c r="BE225" i="1" s="1"/>
  <c r="CW255" i="1"/>
  <c r="DG255" i="1"/>
  <c r="DG245" i="1"/>
  <c r="CW245" i="1"/>
  <c r="DA245" i="1" s="1"/>
  <c r="DE245" i="1" s="1"/>
  <c r="AE239" i="1"/>
  <c r="DN224" i="1"/>
  <c r="DJ225" i="1"/>
  <c r="DA249" i="1"/>
  <c r="CR248" i="1"/>
  <c r="CT241" i="1"/>
  <c r="CT248" i="1" s="1"/>
  <c r="DH236" i="1"/>
  <c r="CX236" i="1"/>
  <c r="AY224" i="1"/>
  <c r="AQ225" i="1"/>
  <c r="DH245" i="1"/>
  <c r="CX245" i="1"/>
  <c r="DB245" i="1" s="1"/>
  <c r="DF245" i="1" s="1"/>
  <c r="CX231" i="1"/>
  <c r="DB231" i="1" s="1"/>
  <c r="DF231" i="1" s="1"/>
  <c r="DH231" i="1"/>
  <c r="AJ234" i="1"/>
  <c r="AJ235" i="1" s="1"/>
  <c r="AV234" i="1"/>
  <c r="AV235" i="1" s="1"/>
  <c r="AN234" i="1"/>
  <c r="AH234" i="1"/>
  <c r="AH235" i="1" s="1"/>
  <c r="DM222" i="1"/>
  <c r="AU243" i="1"/>
  <c r="AM243" i="1"/>
  <c r="AG243" i="1"/>
  <c r="AC243" i="1"/>
  <c r="AI243" i="1"/>
  <c r="DF210" i="1"/>
  <c r="AJ250" i="1"/>
  <c r="AJ253" i="1" s="1"/>
  <c r="AH250" i="1"/>
  <c r="AH253" i="1" s="1"/>
  <c r="AV250" i="1"/>
  <c r="AN250" i="1"/>
  <c r="AR250" i="1" s="1"/>
  <c r="X218" i="1"/>
  <c r="R221" i="1"/>
  <c r="CW212" i="1"/>
  <c r="DA212" i="1" s="1"/>
  <c r="DE212" i="1" s="1"/>
  <c r="DG212" i="1"/>
  <c r="EG145" i="1"/>
  <c r="EU145" i="1"/>
  <c r="DV140" i="1"/>
  <c r="BM198" i="1"/>
  <c r="BR198" i="1" s="1"/>
  <c r="BE198" i="1"/>
  <c r="EJ204" i="1"/>
  <c r="EN204" i="1" s="1"/>
  <c r="EV204" i="1"/>
  <c r="EH204" i="1"/>
  <c r="DH189" i="1"/>
  <c r="CX189" i="1"/>
  <c r="Y271" i="1"/>
  <c r="AE266" i="1"/>
  <c r="AE195" i="1"/>
  <c r="AV193" i="1"/>
  <c r="AV195" i="1" s="1"/>
  <c r="AN193" i="1"/>
  <c r="AH193" i="1"/>
  <c r="AH195" i="1" s="1"/>
  <c r="AJ193" i="1"/>
  <c r="AJ195" i="1" s="1"/>
  <c r="CW171" i="1"/>
  <c r="CU174" i="1"/>
  <c r="DG171" i="1"/>
  <c r="CX158" i="1"/>
  <c r="DB158" i="1" s="1"/>
  <c r="DF158" i="1" s="1"/>
  <c r="DH158" i="1"/>
  <c r="CW149" i="1"/>
  <c r="DA149" i="1" s="1"/>
  <c r="DE149" i="1" s="1"/>
  <c r="DG149" i="1"/>
  <c r="AI196" i="1"/>
  <c r="AU196" i="1"/>
  <c r="AC196" i="1"/>
  <c r="AG196" i="1"/>
  <c r="AM196" i="1"/>
  <c r="DG182" i="1"/>
  <c r="CW182" i="1"/>
  <c r="CU184" i="1"/>
  <c r="R174" i="1"/>
  <c r="X171" i="1"/>
  <c r="DR157" i="1"/>
  <c r="DV157" i="1" s="1"/>
  <c r="ED157" i="1"/>
  <c r="BM155" i="1"/>
  <c r="BR155" i="1" s="1"/>
  <c r="BV155" i="1" s="1"/>
  <c r="BE155" i="1"/>
  <c r="AE177" i="1"/>
  <c r="Y179" i="1"/>
  <c r="EI165" i="1"/>
  <c r="EM165" i="1" s="1"/>
  <c r="X115" i="1"/>
  <c r="R117" i="1"/>
  <c r="DB205" i="1"/>
  <c r="DF199" i="1"/>
  <c r="ED182" i="1"/>
  <c r="BM157" i="1"/>
  <c r="BR157" i="1" s="1"/>
  <c r="EU161" i="1"/>
  <c r="EG161" i="1"/>
  <c r="EI161" i="1"/>
  <c r="EM161" i="1" s="1"/>
  <c r="AV111" i="1"/>
  <c r="AV113" i="1" s="1"/>
  <c r="AN111" i="1"/>
  <c r="AH111" i="1"/>
  <c r="AH113" i="1" s="1"/>
  <c r="AE113" i="1"/>
  <c r="AJ111" i="1"/>
  <c r="AJ113" i="1" s="1"/>
  <c r="AE222" i="1"/>
  <c r="DQ208" i="1"/>
  <c r="DU208" i="1" s="1"/>
  <c r="EC208" i="1"/>
  <c r="CT165" i="1"/>
  <c r="CV165" i="1" s="1"/>
  <c r="DH165" i="1" s="1"/>
  <c r="DI98" i="1"/>
  <c r="DM96" i="1"/>
  <c r="AN217" i="1"/>
  <c r="AR215" i="1"/>
  <c r="DA138" i="1"/>
  <c r="CW139" i="1"/>
  <c r="AU111" i="1"/>
  <c r="AU113" i="1" s="1"/>
  <c r="AM111" i="1"/>
  <c r="AG111" i="1"/>
  <c r="AC111" i="1"/>
  <c r="AD113" i="1"/>
  <c r="AC113" i="1" s="1"/>
  <c r="AI111" i="1"/>
  <c r="AI113" i="1" s="1"/>
  <c r="AU138" i="1"/>
  <c r="AM138" i="1"/>
  <c r="AG138" i="1"/>
  <c r="AC138" i="1"/>
  <c r="AI138" i="1"/>
  <c r="AJ132" i="1"/>
  <c r="AJ134" i="1" s="1"/>
  <c r="AE134" i="1"/>
  <c r="AV132" i="1"/>
  <c r="AV134" i="1" s="1"/>
  <c r="AN132" i="1"/>
  <c r="AH132" i="1"/>
  <c r="AH134" i="1" s="1"/>
  <c r="EJ114" i="1"/>
  <c r="EN114" i="1" s="1"/>
  <c r="EV114" i="1"/>
  <c r="EH114" i="1"/>
  <c r="X107" i="1"/>
  <c r="DI93" i="1"/>
  <c r="DM91" i="1"/>
  <c r="CV85" i="1"/>
  <c r="DH83" i="1"/>
  <c r="CX83" i="1"/>
  <c r="X80" i="1"/>
  <c r="R82" i="1"/>
  <c r="CV71" i="1"/>
  <c r="DH69" i="1"/>
  <c r="DF186" i="1"/>
  <c r="DF187" i="1" s="1"/>
  <c r="DB187" i="1"/>
  <c r="EM132" i="1"/>
  <c r="X123" i="1"/>
  <c r="R125" i="1"/>
  <c r="EU97" i="1"/>
  <c r="EG97" i="1"/>
  <c r="EI97" i="1"/>
  <c r="EM97" i="1" s="1"/>
  <c r="EJ130" i="1"/>
  <c r="EN130" i="1" s="1"/>
  <c r="EH130" i="1"/>
  <c r="EV130" i="1"/>
  <c r="BN84" i="1"/>
  <c r="BQ84" i="1"/>
  <c r="BU84" i="1" s="1"/>
  <c r="DB79" i="1"/>
  <c r="DF76" i="1"/>
  <c r="DE72" i="1"/>
  <c r="DA75" i="1"/>
  <c r="CS104" i="1"/>
  <c r="CU102" i="1"/>
  <c r="EI131" i="1"/>
  <c r="EM131" i="1" s="1"/>
  <c r="EU131" i="1"/>
  <c r="EG131" i="1"/>
  <c r="CW86" i="1"/>
  <c r="DG86" i="1"/>
  <c r="BN73" i="1"/>
  <c r="BQ73" i="1"/>
  <c r="BU73" i="1" s="1"/>
  <c r="CX70" i="1"/>
  <c r="DH70" i="1"/>
  <c r="X36" i="1"/>
  <c r="R24" i="1"/>
  <c r="R26" i="1" s="1"/>
  <c r="X17" i="1"/>
  <c r="CU49" i="1"/>
  <c r="DG46" i="1"/>
  <c r="CW46" i="1"/>
  <c r="AI83" i="1"/>
  <c r="AI85" i="1" s="1"/>
  <c r="AD85" i="1"/>
  <c r="AU83" i="1"/>
  <c r="AU85" i="1" s="1"/>
  <c r="AM83" i="1"/>
  <c r="AG83" i="1"/>
  <c r="AG85" i="1" s="1"/>
  <c r="AC83" i="1"/>
  <c r="AI70" i="1"/>
  <c r="AU70" i="1"/>
  <c r="AM70" i="1"/>
  <c r="AG70" i="1"/>
  <c r="AC70" i="1"/>
  <c r="AV60" i="1"/>
  <c r="AV62" i="1" s="1"/>
  <c r="AN60" i="1"/>
  <c r="AH60" i="1"/>
  <c r="AH62" i="1" s="1"/>
  <c r="AE62" i="1"/>
  <c r="AJ60" i="1"/>
  <c r="AJ62" i="1" s="1"/>
  <c r="R56" i="1"/>
  <c r="X53" i="1"/>
  <c r="DF50" i="1"/>
  <c r="DB52" i="1"/>
  <c r="X30" i="1"/>
  <c r="R33" i="1"/>
  <c r="DF11" i="1"/>
  <c r="DB13" i="1"/>
  <c r="AR87" i="1"/>
  <c r="DB59" i="1"/>
  <c r="DF57" i="1"/>
  <c r="DY53" i="1"/>
  <c r="DM50" i="1"/>
  <c r="AE46" i="1"/>
  <c r="Y49" i="1"/>
  <c r="Y29" i="1"/>
  <c r="AE27" i="1"/>
  <c r="DA7" i="1"/>
  <c r="DE5" i="1"/>
  <c r="BD64" i="1"/>
  <c r="BQ47" i="1"/>
  <c r="BU47" i="1" s="1"/>
  <c r="BN47" i="1"/>
  <c r="BL19" i="1"/>
  <c r="AJ17" i="1"/>
  <c r="AJ24" i="1" s="1"/>
  <c r="AJ26" i="1" s="1"/>
  <c r="AE24" i="1"/>
  <c r="AE26" i="1" s="1"/>
  <c r="AV17" i="1"/>
  <c r="AV24" i="1" s="1"/>
  <c r="AV26" i="1" s="1"/>
  <c r="AN17" i="1"/>
  <c r="AH17" i="1"/>
  <c r="AH24" i="1" s="1"/>
  <c r="AH26" i="1" s="1"/>
  <c r="EU41" i="1"/>
  <c r="EG41" i="1"/>
  <c r="EI41" i="1"/>
  <c r="EM41" i="1" s="1"/>
  <c r="BL67" i="1"/>
  <c r="BE54" i="1"/>
  <c r="AR34" i="1"/>
  <c r="EI12" i="1"/>
  <c r="EM12" i="1" s="1"/>
  <c r="EU12" i="1"/>
  <c r="EG12" i="1"/>
  <c r="EI32" i="1"/>
  <c r="EM32" i="1" s="1"/>
  <c r="EU32" i="1"/>
  <c r="EG32" i="1"/>
  <c r="DZ10" i="1"/>
  <c r="ED9" i="1"/>
  <c r="AJ63" i="1"/>
  <c r="AJ65" i="1" s="1"/>
  <c r="AE65" i="1"/>
  <c r="AV63" i="1"/>
  <c r="AV65" i="1" s="1"/>
  <c r="AN63" i="1"/>
  <c r="AH63" i="1"/>
  <c r="AH65" i="1" s="1"/>
  <c r="AN59" i="1"/>
  <c r="BD22" i="1"/>
  <c r="X10" i="1"/>
  <c r="AD8" i="1"/>
  <c r="CR7" i="1"/>
  <c r="CT5" i="1"/>
  <c r="CT7" i="1" s="1"/>
  <c r="X7" i="1"/>
  <c r="AD5" i="1"/>
  <c r="DA57" i="1"/>
  <c r="CW59" i="1"/>
  <c r="BN31" i="1"/>
  <c r="BQ31" i="1"/>
  <c r="BU31" i="1" s="1"/>
  <c r="EI18" i="1"/>
  <c r="EM18" i="1" s="1"/>
  <c r="EU18" i="1"/>
  <c r="EG18" i="1"/>
  <c r="AJ12" i="1"/>
  <c r="AV12" i="1"/>
  <c r="AN12" i="1"/>
  <c r="AH12" i="1"/>
  <c r="CR262" i="1"/>
  <c r="AR293" i="1"/>
  <c r="AZ293" i="1" s="1"/>
  <c r="BE288" i="1"/>
  <c r="AR255" i="1"/>
  <c r="AZ255" i="1" s="1"/>
  <c r="AR268" i="1"/>
  <c r="AZ268" i="1" s="1"/>
  <c r="AR231" i="1"/>
  <c r="AZ231" i="1" s="1"/>
  <c r="BA231" i="1" s="1"/>
  <c r="R205" i="1"/>
  <c r="AR201" i="1"/>
  <c r="AZ201" i="1" s="1"/>
  <c r="AQ183" i="1"/>
  <c r="AY183" i="1" s="1"/>
  <c r="AB185" i="1"/>
  <c r="DG146" i="1"/>
  <c r="AQ214" i="1"/>
  <c r="AY214" i="1" s="1"/>
  <c r="AR192" i="1"/>
  <c r="AZ192" i="1" s="1"/>
  <c r="CW146" i="1"/>
  <c r="AZ211" i="1"/>
  <c r="DA195" i="1"/>
  <c r="DJ184" i="1"/>
  <c r="AR172" i="1"/>
  <c r="AZ172" i="1" s="1"/>
  <c r="DJ141" i="1"/>
  <c r="EL135" i="1"/>
  <c r="EL310" i="1" s="1"/>
  <c r="AR124" i="1"/>
  <c r="AZ124" i="1" s="1"/>
  <c r="AR128" i="1"/>
  <c r="AZ128" i="1" s="1"/>
  <c r="DI190" i="1"/>
  <c r="DM190" i="1" s="1"/>
  <c r="DQ190" i="1" s="1"/>
  <c r="DU190" i="1" s="1"/>
  <c r="DY190" i="1" s="1"/>
  <c r="DJ183" i="1"/>
  <c r="DN183" i="1" s="1"/>
  <c r="DR183" i="1" s="1"/>
  <c r="DV183" i="1" s="1"/>
  <c r="DZ183" i="1" s="1"/>
  <c r="ED183" i="1" s="1"/>
  <c r="AQ180" i="1"/>
  <c r="AY180" i="1" s="1"/>
  <c r="AQ153" i="1"/>
  <c r="AY153" i="1" s="1"/>
  <c r="AR118" i="1"/>
  <c r="AZ118" i="1" s="1"/>
  <c r="AF135" i="1"/>
  <c r="AF310" i="1" s="1"/>
  <c r="DI115" i="1"/>
  <c r="AQ154" i="1"/>
  <c r="AY154" i="1" s="1"/>
  <c r="AR152" i="1"/>
  <c r="AZ152" i="1" s="1"/>
  <c r="AR150" i="1"/>
  <c r="AZ150" i="1" s="1"/>
  <c r="AR121" i="1"/>
  <c r="AZ121" i="1" s="1"/>
  <c r="AR112" i="1"/>
  <c r="AZ112" i="1" s="1"/>
  <c r="AQ178" i="1"/>
  <c r="AY178" i="1" s="1"/>
  <c r="CT174" i="1"/>
  <c r="AZ151" i="1"/>
  <c r="AZ149" i="1"/>
  <c r="AR77" i="1"/>
  <c r="AZ77" i="1" s="1"/>
  <c r="DG82" i="1"/>
  <c r="AQ119" i="1"/>
  <c r="AY119" i="1" s="1"/>
  <c r="AR106" i="1"/>
  <c r="AZ106" i="1" s="1"/>
  <c r="BA106" i="1" s="1"/>
  <c r="AR78" i="1"/>
  <c r="AZ78" i="1" s="1"/>
  <c r="AH79" i="1"/>
  <c r="Y43" i="1"/>
  <c r="Y36" i="1"/>
  <c r="AR30" i="1"/>
  <c r="CU60" i="1"/>
  <c r="AR58" i="1"/>
  <c r="AZ58" i="1" s="1"/>
  <c r="AZ44" i="1"/>
  <c r="AY42" i="1"/>
  <c r="CU34" i="1"/>
  <c r="BM299" i="1"/>
  <c r="BR299" i="1" s="1"/>
  <c r="BE299" i="1"/>
  <c r="BM309" i="1"/>
  <c r="BE309" i="1"/>
  <c r="CX298" i="1"/>
  <c r="DH298" i="1"/>
  <c r="BM297" i="1"/>
  <c r="BR297" i="1" s="1"/>
  <c r="BE297" i="1"/>
  <c r="BM291" i="1"/>
  <c r="BR291" i="1" s="1"/>
  <c r="BE291" i="1"/>
  <c r="R290" i="1"/>
  <c r="X289" i="1"/>
  <c r="CX294" i="1"/>
  <c r="DB294" i="1" s="1"/>
  <c r="DF294" i="1" s="1"/>
  <c r="DH294" i="1"/>
  <c r="BL292" i="1"/>
  <c r="BD292" i="1"/>
  <c r="DF263" i="1"/>
  <c r="DF265" i="1" s="1"/>
  <c r="DB265" i="1"/>
  <c r="DH259" i="1"/>
  <c r="CX259" i="1"/>
  <c r="DB259" i="1" s="1"/>
  <c r="DF259" i="1" s="1"/>
  <c r="DV254" i="1"/>
  <c r="CS269" i="1"/>
  <c r="CU267" i="1"/>
  <c r="DH266" i="1"/>
  <c r="CV271" i="1"/>
  <c r="CX266" i="1"/>
  <c r="R253" i="1"/>
  <c r="X249" i="1"/>
  <c r="BM282" i="1"/>
  <c r="BE282" i="1"/>
  <c r="BM278" i="1"/>
  <c r="BR278" i="1" s="1"/>
  <c r="BV278" i="1" s="1"/>
  <c r="BE278" i="1"/>
  <c r="EU270" i="1"/>
  <c r="EG270" i="1"/>
  <c r="EI270" i="1"/>
  <c r="EM270" i="1" s="1"/>
  <c r="CX258" i="1"/>
  <c r="DB258" i="1" s="1"/>
  <c r="DF258" i="1" s="1"/>
  <c r="DH258" i="1"/>
  <c r="DJ258" i="1" s="1"/>
  <c r="DN258" i="1" s="1"/>
  <c r="DR258" i="1" s="1"/>
  <c r="DV258" i="1" s="1"/>
  <c r="DZ258" i="1" s="1"/>
  <c r="BN287" i="1"/>
  <c r="BQ287" i="1"/>
  <c r="BU287" i="1" s="1"/>
  <c r="DE266" i="1"/>
  <c r="R265" i="1"/>
  <c r="X263" i="1"/>
  <c r="AD257" i="1"/>
  <c r="X260" i="1"/>
  <c r="AN249" i="1"/>
  <c r="AE253" i="1"/>
  <c r="AV249" i="1"/>
  <c r="AV253" i="1" s="1"/>
  <c r="BQ280" i="1"/>
  <c r="BU280" i="1" s="1"/>
  <c r="BN280" i="1"/>
  <c r="EV276" i="1"/>
  <c r="EH276" i="1"/>
  <c r="EJ276" i="1"/>
  <c r="EN276" i="1" s="1"/>
  <c r="BM273" i="1"/>
  <c r="BR273" i="1" s="1"/>
  <c r="BV273" i="1" s="1"/>
  <c r="BE273" i="1"/>
  <c r="BQ274" i="1"/>
  <c r="BU274" i="1" s="1"/>
  <c r="R286" i="1"/>
  <c r="R288" i="1" s="1"/>
  <c r="X272" i="1"/>
  <c r="X286" i="1" s="1"/>
  <c r="X288" i="1" s="1"/>
  <c r="DG251" i="1"/>
  <c r="CW251" i="1"/>
  <c r="DA251" i="1" s="1"/>
  <c r="DE251" i="1" s="1"/>
  <c r="DH243" i="1"/>
  <c r="CX243" i="1"/>
  <c r="DB243" i="1" s="1"/>
  <c r="DF243" i="1" s="1"/>
  <c r="AD233" i="1"/>
  <c r="X235" i="1"/>
  <c r="DG268" i="1"/>
  <c r="CW268" i="1"/>
  <c r="DA268" i="1" s="1"/>
  <c r="DE268" i="1" s="1"/>
  <c r="CX256" i="1"/>
  <c r="DB255" i="1"/>
  <c r="AD256" i="1"/>
  <c r="AC256" i="1" s="1"/>
  <c r="AU254" i="1"/>
  <c r="AU256" i="1" s="1"/>
  <c r="AM254" i="1"/>
  <c r="AG254" i="1"/>
  <c r="AC254" i="1"/>
  <c r="AI254" i="1"/>
  <c r="AI256" i="1" s="1"/>
  <c r="BM276" i="1"/>
  <c r="BR276" i="1" s="1"/>
  <c r="BV276" i="1" s="1"/>
  <c r="BE276" i="1"/>
  <c r="DY254" i="1"/>
  <c r="CW236" i="1"/>
  <c r="CU238" i="1"/>
  <c r="DG236" i="1"/>
  <c r="AN256" i="1"/>
  <c r="AR254" i="1"/>
  <c r="DA257" i="1"/>
  <c r="CU217" i="1"/>
  <c r="DG215" i="1"/>
  <c r="CW215" i="1"/>
  <c r="CU248" i="1"/>
  <c r="CW242" i="1"/>
  <c r="DG242" i="1"/>
  <c r="DN239" i="1"/>
  <c r="AN235" i="1"/>
  <c r="AR233" i="1"/>
  <c r="AI232" i="1"/>
  <c r="AU232" i="1"/>
  <c r="AM232" i="1"/>
  <c r="AG232" i="1"/>
  <c r="AC232" i="1"/>
  <c r="BL230" i="1"/>
  <c r="BD230" i="1"/>
  <c r="CV253" i="1"/>
  <c r="DG216" i="1"/>
  <c r="CW216" i="1"/>
  <c r="DA216" i="1" s="1"/>
  <c r="DE216" i="1" s="1"/>
  <c r="AE159" i="1"/>
  <c r="Y160" i="1"/>
  <c r="BM252" i="1"/>
  <c r="BR252" i="1" s="1"/>
  <c r="BE252" i="1"/>
  <c r="BD252" i="1"/>
  <c r="DM226" i="1"/>
  <c r="AI202" i="1"/>
  <c r="AM202" i="1"/>
  <c r="AU202" i="1"/>
  <c r="AC202" i="1"/>
  <c r="AG202" i="1"/>
  <c r="DJ195" i="1"/>
  <c r="DN193" i="1"/>
  <c r="DI221" i="1"/>
  <c r="DM218" i="1"/>
  <c r="AD199" i="1"/>
  <c r="X205" i="1"/>
  <c r="BM220" i="1"/>
  <c r="BR220" i="1" s="1"/>
  <c r="BV220" i="1" s="1"/>
  <c r="BE220" i="1"/>
  <c r="EU202" i="1"/>
  <c r="EG202" i="1"/>
  <c r="EI202" i="1"/>
  <c r="EM202" i="1" s="1"/>
  <c r="EI198" i="1"/>
  <c r="EM198" i="1" s="1"/>
  <c r="EU198" i="1"/>
  <c r="EG198" i="1"/>
  <c r="AE187" i="1"/>
  <c r="AV186" i="1"/>
  <c r="AV187" i="1" s="1"/>
  <c r="X181" i="1"/>
  <c r="R184" i="1"/>
  <c r="CX159" i="1"/>
  <c r="CV160" i="1"/>
  <c r="DH159" i="1"/>
  <c r="CW151" i="1"/>
  <c r="DA151" i="1" s="1"/>
  <c r="DE151" i="1" s="1"/>
  <c r="DG151" i="1"/>
  <c r="CW147" i="1"/>
  <c r="CU156" i="1"/>
  <c r="DG147" i="1"/>
  <c r="X143" i="1"/>
  <c r="R146" i="1"/>
  <c r="BD231" i="1"/>
  <c r="EJ173" i="1"/>
  <c r="EN173" i="1" s="1"/>
  <c r="EH173" i="1"/>
  <c r="BL167" i="1"/>
  <c r="BD167" i="1"/>
  <c r="EH149" i="1"/>
  <c r="AE120" i="1"/>
  <c r="Y122" i="1"/>
  <c r="AE241" i="1"/>
  <c r="Y248" i="1"/>
  <c r="Y262" i="1" s="1"/>
  <c r="BA220" i="1"/>
  <c r="BD220" i="1"/>
  <c r="DF219" i="1"/>
  <c r="R217" i="1"/>
  <c r="X215" i="1"/>
  <c r="DJ211" i="1"/>
  <c r="DN211" i="1" s="1"/>
  <c r="DR211" i="1" s="1"/>
  <c r="DV211" i="1" s="1"/>
  <c r="DZ211" i="1" s="1"/>
  <c r="BM203" i="1"/>
  <c r="BR203" i="1" s="1"/>
  <c r="BE203" i="1"/>
  <c r="BE178" i="1"/>
  <c r="DN177" i="1"/>
  <c r="EI152" i="1"/>
  <c r="EM152" i="1" s="1"/>
  <c r="BM148" i="1"/>
  <c r="BR148" i="1" s="1"/>
  <c r="BV148" i="1" s="1"/>
  <c r="BE148" i="1"/>
  <c r="X156" i="1"/>
  <c r="AD147" i="1"/>
  <c r="DM178" i="1"/>
  <c r="DQ178" i="1" s="1"/>
  <c r="DU178" i="1" s="1"/>
  <c r="DY178" i="1" s="1"/>
  <c r="DI179" i="1"/>
  <c r="DH152" i="1"/>
  <c r="CX152" i="1"/>
  <c r="DB152" i="1" s="1"/>
  <c r="DF152" i="1" s="1"/>
  <c r="DG148" i="1"/>
  <c r="CW148" i="1"/>
  <c r="DA148" i="1" s="1"/>
  <c r="DE148" i="1" s="1"/>
  <c r="R213" i="1"/>
  <c r="X210" i="1"/>
  <c r="BM204" i="1"/>
  <c r="BR204" i="1" s="1"/>
  <c r="BE204" i="1"/>
  <c r="AI203" i="1"/>
  <c r="AU203" i="1"/>
  <c r="AM203" i="1"/>
  <c r="AG203" i="1"/>
  <c r="AC203" i="1"/>
  <c r="DM194" i="1"/>
  <c r="DQ194" i="1" s="1"/>
  <c r="DU194" i="1" s="1"/>
  <c r="DY194" i="1" s="1"/>
  <c r="DI195" i="1"/>
  <c r="BM169" i="1"/>
  <c r="BR169" i="1" s="1"/>
  <c r="ED194" i="1"/>
  <c r="DZ195" i="1"/>
  <c r="DQ169" i="1"/>
  <c r="DU169" i="1" s="1"/>
  <c r="EC169" i="1"/>
  <c r="DM166" i="1"/>
  <c r="AU165" i="1"/>
  <c r="AM165" i="1"/>
  <c r="AG165" i="1"/>
  <c r="AC165" i="1"/>
  <c r="AI165" i="1"/>
  <c r="AU157" i="1"/>
  <c r="AM157" i="1"/>
  <c r="AG157" i="1"/>
  <c r="AC157" i="1"/>
  <c r="AI157" i="1"/>
  <c r="DH148" i="1"/>
  <c r="CX148" i="1"/>
  <c r="DB148" i="1" s="1"/>
  <c r="DF148" i="1" s="1"/>
  <c r="BA204" i="1"/>
  <c r="BL204" i="1"/>
  <c r="BD204" i="1"/>
  <c r="BM202" i="1"/>
  <c r="BR202" i="1" s="1"/>
  <c r="BE202" i="1"/>
  <c r="BM196" i="1"/>
  <c r="BR196" i="1" s="1"/>
  <c r="BE196" i="1"/>
  <c r="DQ193" i="1"/>
  <c r="EC193" i="1"/>
  <c r="DR181" i="1"/>
  <c r="ED181" i="1"/>
  <c r="DJ146" i="1"/>
  <c r="DN143" i="1"/>
  <c r="EJ133" i="1"/>
  <c r="EN133" i="1" s="1"/>
  <c r="EV133" i="1"/>
  <c r="EH133" i="1"/>
  <c r="CV122" i="1"/>
  <c r="CX120" i="1"/>
  <c r="DH120" i="1"/>
  <c r="EC112" i="1"/>
  <c r="DY113" i="1"/>
  <c r="DH106" i="1"/>
  <c r="CX106" i="1"/>
  <c r="DB106" i="1" s="1"/>
  <c r="DF106" i="1" s="1"/>
  <c r="ED103" i="1"/>
  <c r="DZ104" i="1"/>
  <c r="EI100" i="1"/>
  <c r="EM100" i="1" s="1"/>
  <c r="EU100" i="1"/>
  <c r="EG100" i="1"/>
  <c r="DF96" i="1"/>
  <c r="DF98" i="1" s="1"/>
  <c r="DB98" i="1"/>
  <c r="DG172" i="1"/>
  <c r="BE167" i="1"/>
  <c r="DG139" i="1"/>
  <c r="X134" i="1"/>
  <c r="AD132" i="1"/>
  <c r="ED111" i="1"/>
  <c r="DN113" i="1"/>
  <c r="DR111" i="1"/>
  <c r="BL103" i="1"/>
  <c r="BD103" i="1"/>
  <c r="DH139" i="1"/>
  <c r="DI133" i="1"/>
  <c r="DE134" i="1"/>
  <c r="AU131" i="1"/>
  <c r="AM131" i="1"/>
  <c r="AG131" i="1"/>
  <c r="AC131" i="1"/>
  <c r="AI131" i="1"/>
  <c r="CX121" i="1"/>
  <c r="DB121" i="1" s="1"/>
  <c r="DF121" i="1" s="1"/>
  <c r="DH121" i="1"/>
  <c r="BA216" i="1"/>
  <c r="BD190" i="1"/>
  <c r="CR187" i="1"/>
  <c r="CR223" i="1" s="1"/>
  <c r="CT186" i="1"/>
  <c r="CT187" i="1" s="1"/>
  <c r="DY137" i="1"/>
  <c r="R110" i="1"/>
  <c r="X108" i="1"/>
  <c r="CS97" i="1"/>
  <c r="CS98" i="1" s="1"/>
  <c r="CQ98" i="1"/>
  <c r="BM95" i="1"/>
  <c r="BR95" i="1" s="1"/>
  <c r="BV95" i="1" s="1"/>
  <c r="AU130" i="1"/>
  <c r="AM130" i="1"/>
  <c r="AG130" i="1"/>
  <c r="AC130" i="1"/>
  <c r="AI130" i="1"/>
  <c r="AU124" i="1"/>
  <c r="AM124" i="1"/>
  <c r="AG124" i="1"/>
  <c r="AC124" i="1"/>
  <c r="AI124" i="1"/>
  <c r="DE80" i="1"/>
  <c r="DA82" i="1"/>
  <c r="BM176" i="1"/>
  <c r="BR176" i="1" s="1"/>
  <c r="BE176" i="1"/>
  <c r="EV100" i="1"/>
  <c r="EH100" i="1"/>
  <c r="EJ100" i="1"/>
  <c r="EN100" i="1" s="1"/>
  <c r="BV88" i="1"/>
  <c r="BA198" i="1"/>
  <c r="BL198" i="1"/>
  <c r="BD198" i="1"/>
  <c r="DE143" i="1"/>
  <c r="DA146" i="1"/>
  <c r="BE136" i="1"/>
  <c r="BM136" i="1"/>
  <c r="BR136" i="1" s="1"/>
  <c r="EU129" i="1"/>
  <c r="BM129" i="1"/>
  <c r="BR129" i="1" s="1"/>
  <c r="BE129" i="1"/>
  <c r="AJ108" i="1"/>
  <c r="AJ110" i="1" s="1"/>
  <c r="AE110" i="1"/>
  <c r="AH108" i="1"/>
  <c r="AH110" i="1" s="1"/>
  <c r="AN108" i="1"/>
  <c r="AV108" i="1"/>
  <c r="AV110" i="1" s="1"/>
  <c r="ED81" i="1"/>
  <c r="DZ82" i="1"/>
  <c r="R65" i="1"/>
  <c r="X63" i="1"/>
  <c r="AJ41" i="1"/>
  <c r="AJ43" i="1" s="1"/>
  <c r="AV41" i="1"/>
  <c r="AV43" i="1" s="1"/>
  <c r="AN41" i="1"/>
  <c r="AH41" i="1"/>
  <c r="AH43" i="1" s="1"/>
  <c r="DB36" i="1"/>
  <c r="DF34" i="1"/>
  <c r="CU85" i="1"/>
  <c r="DG83" i="1"/>
  <c r="CW83" i="1"/>
  <c r="BL81" i="1"/>
  <c r="EU77" i="1"/>
  <c r="EG77" i="1"/>
  <c r="EI77" i="1"/>
  <c r="EM77" i="1" s="1"/>
  <c r="EV97" i="1"/>
  <c r="EH97" i="1"/>
  <c r="EJ97" i="1"/>
  <c r="EN97" i="1" s="1"/>
  <c r="CX67" i="1"/>
  <c r="CV68" i="1"/>
  <c r="DH67" i="1"/>
  <c r="AV53" i="1"/>
  <c r="AV56" i="1" s="1"/>
  <c r="AN53" i="1"/>
  <c r="AH53" i="1"/>
  <c r="AH56" i="1" s="1"/>
  <c r="AE56" i="1"/>
  <c r="AJ53" i="1"/>
  <c r="AJ56" i="1" s="1"/>
  <c r="DH39" i="1"/>
  <c r="BL128" i="1"/>
  <c r="BD128" i="1"/>
  <c r="DI88" i="1"/>
  <c r="BL77" i="1"/>
  <c r="BD77" i="1"/>
  <c r="BA77" i="1"/>
  <c r="AJ67" i="1"/>
  <c r="AJ68" i="1" s="1"/>
  <c r="AV67" i="1"/>
  <c r="AN67" i="1"/>
  <c r="AN68" i="1" s="1"/>
  <c r="AH67" i="1"/>
  <c r="AH68" i="1" s="1"/>
  <c r="BA61" i="1"/>
  <c r="BL61" i="1"/>
  <c r="BD61" i="1"/>
  <c r="AJ35" i="1"/>
  <c r="AJ36" i="1" s="1"/>
  <c r="AV35" i="1"/>
  <c r="AV36" i="1" s="1"/>
  <c r="AN35" i="1"/>
  <c r="AH35" i="1"/>
  <c r="DE14" i="1"/>
  <c r="DA16" i="1"/>
  <c r="BL92" i="1"/>
  <c r="BA92" i="1"/>
  <c r="BD92" i="1"/>
  <c r="AQ87" i="1"/>
  <c r="AV80" i="1"/>
  <c r="AV82" i="1" s="1"/>
  <c r="AN80" i="1"/>
  <c r="AH80" i="1"/>
  <c r="AH82" i="1" s="1"/>
  <c r="AJ80" i="1"/>
  <c r="AJ82" i="1" s="1"/>
  <c r="AE82" i="1"/>
  <c r="DG63" i="1"/>
  <c r="CW63" i="1"/>
  <c r="EU44" i="1"/>
  <c r="EG44" i="1"/>
  <c r="EI44" i="1"/>
  <c r="EM44" i="1" s="1"/>
  <c r="EU38" i="1"/>
  <c r="EG38" i="1"/>
  <c r="EI38" i="1"/>
  <c r="EM38" i="1" s="1"/>
  <c r="BD12" i="1"/>
  <c r="BL41" i="1"/>
  <c r="BD41" i="1"/>
  <c r="AI40" i="1"/>
  <c r="AI43" i="1" s="1"/>
  <c r="AD43" i="1"/>
  <c r="AC43" i="1" s="1"/>
  <c r="AU40" i="1"/>
  <c r="AU43" i="1" s="1"/>
  <c r="AM40" i="1"/>
  <c r="AG40" i="1"/>
  <c r="AG43" i="1" s="1"/>
  <c r="AC40" i="1"/>
  <c r="CQ13" i="1"/>
  <c r="CS11" i="1"/>
  <c r="CS13" i="1" s="1"/>
  <c r="EU42" i="1"/>
  <c r="EG42" i="1"/>
  <c r="EI42" i="1"/>
  <c r="EM42" i="1" s="1"/>
  <c r="EI21" i="1"/>
  <c r="EM21" i="1" s="1"/>
  <c r="EU21" i="1"/>
  <c r="EG21" i="1"/>
  <c r="EV64" i="1"/>
  <c r="EJ41" i="1"/>
  <c r="EN41" i="1" s="1"/>
  <c r="EV41" i="1"/>
  <c r="EH41" i="1"/>
  <c r="EV19" i="1"/>
  <c r="EH19" i="1"/>
  <c r="EJ19" i="1"/>
  <c r="EN19" i="1" s="1"/>
  <c r="CQ7" i="1"/>
  <c r="CS5" i="1"/>
  <c r="CS7" i="1" s="1"/>
  <c r="EV12" i="1"/>
  <c r="EH12" i="1"/>
  <c r="EJ12" i="1"/>
  <c r="EN12" i="1" s="1"/>
  <c r="R13" i="1"/>
  <c r="X11" i="1"/>
  <c r="DJ10" i="1"/>
  <c r="DN8" i="1"/>
  <c r="EV47" i="1"/>
  <c r="EH47" i="1"/>
  <c r="EJ47" i="1"/>
  <c r="EN47" i="1" s="1"/>
  <c r="DB54" i="1"/>
  <c r="CX56" i="1"/>
  <c r="DE43" i="1"/>
  <c r="DI40" i="1"/>
  <c r="AN43" i="1"/>
  <c r="AR40" i="1"/>
  <c r="DF37" i="1"/>
  <c r="DF39" i="1" s="1"/>
  <c r="DB39" i="1"/>
  <c r="EU28" i="1"/>
  <c r="EG28" i="1"/>
  <c r="EI28" i="1"/>
  <c r="EM28" i="1" s="1"/>
  <c r="EI15" i="1"/>
  <c r="EM15" i="1" s="1"/>
  <c r="EU15" i="1"/>
  <c r="EG15" i="1"/>
  <c r="V310" i="1"/>
  <c r="CV237" i="1"/>
  <c r="CV238" i="1" s="1"/>
  <c r="CV233" i="1"/>
  <c r="BN281" i="1"/>
  <c r="CV191" i="1"/>
  <c r="CT209" i="1"/>
  <c r="CU120" i="1"/>
  <c r="AY250" i="1"/>
  <c r="AV205" i="1"/>
  <c r="DJ166" i="1"/>
  <c r="CV86" i="1"/>
  <c r="AJ79" i="1"/>
  <c r="CT85" i="1"/>
  <c r="CS49" i="1"/>
  <c r="DE24" i="1"/>
  <c r="DE26" i="1" s="1"/>
  <c r="AZ25" i="1"/>
  <c r="AY20" i="1"/>
  <c r="DI48" i="1"/>
  <c r="DM48" i="1" s="1"/>
  <c r="DQ48" i="1" s="1"/>
  <c r="DU48" i="1" s="1"/>
  <c r="DY48" i="1" s="1"/>
  <c r="EC48" i="1" s="1"/>
  <c r="AY35" i="1"/>
  <c r="AH36" i="1"/>
  <c r="AH59" i="1"/>
  <c r="AY38" i="1"/>
  <c r="AY28" i="1"/>
  <c r="AZ19" i="1"/>
  <c r="AV68" i="1"/>
  <c r="AR64" i="1"/>
  <c r="AZ64" i="1" s="1"/>
  <c r="BA64" i="1" s="1"/>
  <c r="DI58" i="1"/>
  <c r="DM58" i="1" s="1"/>
  <c r="DQ58" i="1" s="1"/>
  <c r="DU58" i="1" s="1"/>
  <c r="DY58" i="1" s="1"/>
  <c r="EC58" i="1" s="1"/>
  <c r="AY6" i="1"/>
  <c r="AJ7" i="1"/>
  <c r="AZ307" i="1"/>
  <c r="CW298" i="1"/>
  <c r="DA298" i="1" s="1"/>
  <c r="DE298" i="1" s="1"/>
  <c r="DG298" i="1"/>
  <c r="CT2" i="1"/>
  <c r="AI295" i="1"/>
  <c r="AM295" i="1"/>
  <c r="AC295" i="1"/>
  <c r="AU295" i="1"/>
  <c r="AG295" i="1"/>
  <c r="DG299" i="1"/>
  <c r="CU308" i="1"/>
  <c r="CW299" i="1"/>
  <c r="BA309" i="1"/>
  <c r="BL309" i="1"/>
  <c r="BD309" i="1"/>
  <c r="EJ301" i="1"/>
  <c r="EN301" i="1" s="1"/>
  <c r="EV301" i="1"/>
  <c r="EH301" i="1"/>
  <c r="EI283" i="1"/>
  <c r="EM283" i="1" s="1"/>
  <c r="EU283" i="1"/>
  <c r="EG283" i="1"/>
  <c r="DG297" i="1"/>
  <c r="CW297" i="1"/>
  <c r="DA297" i="1" s="1"/>
  <c r="DE297" i="1" s="1"/>
  <c r="EH285" i="1"/>
  <c r="EJ285" i="1"/>
  <c r="EN285" i="1" s="1"/>
  <c r="EV285" i="1"/>
  <c r="BL279" i="1"/>
  <c r="BA279" i="1"/>
  <c r="BD279" i="1"/>
  <c r="BM284" i="1"/>
  <c r="BR284" i="1" s="1"/>
  <c r="BV284" i="1" s="1"/>
  <c r="BE284" i="1"/>
  <c r="BQ276" i="1"/>
  <c r="BU276" i="1" s="1"/>
  <c r="BN276" i="1"/>
  <c r="DJ269" i="1"/>
  <c r="DN267" i="1"/>
  <c r="R269" i="1"/>
  <c r="R271" i="1" s="1"/>
  <c r="X267" i="1"/>
  <c r="BL273" i="1"/>
  <c r="BA273" i="1"/>
  <c r="BD273" i="1"/>
  <c r="DH265" i="1"/>
  <c r="CX257" i="1"/>
  <c r="DH257" i="1"/>
  <c r="CV260" i="1"/>
  <c r="AJ267" i="1"/>
  <c r="AJ269" i="1" s="1"/>
  <c r="AE269" i="1"/>
  <c r="AN267" i="1"/>
  <c r="AH267" i="1"/>
  <c r="AH269" i="1" s="1"/>
  <c r="AV267" i="1"/>
  <c r="AV269" i="1" s="1"/>
  <c r="BE274" i="1"/>
  <c r="BM274" i="1"/>
  <c r="BR274" i="1" s="1"/>
  <c r="BV274" i="1" s="1"/>
  <c r="EJ302" i="1"/>
  <c r="EN302" i="1" s="1"/>
  <c r="EV302" i="1"/>
  <c r="EH302" i="1"/>
  <c r="BQ283" i="1"/>
  <c r="BU283" i="1" s="1"/>
  <c r="BN283" i="1"/>
  <c r="AD266" i="1"/>
  <c r="AD261" i="1"/>
  <c r="DH256" i="1"/>
  <c r="BL284" i="1"/>
  <c r="BA284" i="1"/>
  <c r="BD284" i="1"/>
  <c r="BL277" i="1"/>
  <c r="BA277" i="1"/>
  <c r="BD277" i="1"/>
  <c r="AV236" i="1"/>
  <c r="AV238" i="1" s="1"/>
  <c r="AN236" i="1"/>
  <c r="AH236" i="1"/>
  <c r="AH238" i="1" s="1"/>
  <c r="AE238" i="1"/>
  <c r="AJ236" i="1"/>
  <c r="AJ238" i="1" s="1"/>
  <c r="DF222" i="1"/>
  <c r="DH252" i="1"/>
  <c r="CX252" i="1"/>
  <c r="EI234" i="1"/>
  <c r="EM234" i="1" s="1"/>
  <c r="EU234" i="1"/>
  <c r="EG234" i="1"/>
  <c r="R248" i="1"/>
  <c r="X241" i="1"/>
  <c r="AN228" i="1"/>
  <c r="AR226" i="1"/>
  <c r="DA225" i="1"/>
  <c r="DE224" i="1"/>
  <c r="CQ253" i="1"/>
  <c r="CQ262" i="1" s="1"/>
  <c r="CS250" i="1"/>
  <c r="CS253" i="1" s="1"/>
  <c r="CS262" i="1" s="1"/>
  <c r="DN241" i="1"/>
  <c r="EG244" i="1"/>
  <c r="EI244" i="1"/>
  <c r="EM244" i="1" s="1"/>
  <c r="EU244" i="1"/>
  <c r="X207" i="1"/>
  <c r="R209" i="1"/>
  <c r="DY221" i="1"/>
  <c r="EC219" i="1"/>
  <c r="EI200" i="1"/>
  <c r="EM200" i="1" s="1"/>
  <c r="EU200" i="1"/>
  <c r="EG200" i="1"/>
  <c r="ED198" i="1"/>
  <c r="DR198" i="1"/>
  <c r="DV198" i="1" s="1"/>
  <c r="AE162" i="1"/>
  <c r="Y164" i="1"/>
  <c r="X228" i="1"/>
  <c r="AD226" i="1"/>
  <c r="DZ205" i="1"/>
  <c r="ED200" i="1"/>
  <c r="DE181" i="1"/>
  <c r="DJ218" i="1"/>
  <c r="EI203" i="1"/>
  <c r="EM203" i="1" s="1"/>
  <c r="EU203" i="1"/>
  <c r="EG203" i="1"/>
  <c r="CW173" i="1"/>
  <c r="DA173" i="1" s="1"/>
  <c r="DE173" i="1" s="1"/>
  <c r="DG173" i="1"/>
  <c r="DG163" i="1"/>
  <c r="CW163" i="1"/>
  <c r="DA163" i="1" s="1"/>
  <c r="DE163" i="1" s="1"/>
  <c r="CW153" i="1"/>
  <c r="DA153" i="1" s="1"/>
  <c r="DE153" i="1" s="1"/>
  <c r="DG153" i="1"/>
  <c r="AE146" i="1"/>
  <c r="AV143" i="1"/>
  <c r="AV146" i="1" s="1"/>
  <c r="AN143" i="1"/>
  <c r="AH143" i="1"/>
  <c r="AH146" i="1" s="1"/>
  <c r="AJ143" i="1"/>
  <c r="AJ146" i="1" s="1"/>
  <c r="AE218" i="1"/>
  <c r="Y221" i="1"/>
  <c r="Y223" i="1" s="1"/>
  <c r="AD193" i="1"/>
  <c r="BM189" i="1"/>
  <c r="BR189" i="1" s="1"/>
  <c r="BE189" i="1"/>
  <c r="AU172" i="1"/>
  <c r="AM172" i="1"/>
  <c r="AG172" i="1"/>
  <c r="AC172" i="1"/>
  <c r="AI172" i="1"/>
  <c r="BL163" i="1"/>
  <c r="BM158" i="1"/>
  <c r="BR158" i="1" s="1"/>
  <c r="BE158" i="1"/>
  <c r="BM145" i="1"/>
  <c r="BR145" i="1" s="1"/>
  <c r="BE145" i="1"/>
  <c r="AE102" i="1"/>
  <c r="Y104" i="1"/>
  <c r="DF176" i="1"/>
  <c r="DN176" i="1"/>
  <c r="AD166" i="1"/>
  <c r="X168" i="1"/>
  <c r="CT156" i="1"/>
  <c r="CV147" i="1"/>
  <c r="DY188" i="1"/>
  <c r="DZ179" i="1"/>
  <c r="ED178" i="1"/>
  <c r="EJ137" i="1"/>
  <c r="EH137" i="1"/>
  <c r="EV137" i="1"/>
  <c r="AR208" i="1"/>
  <c r="AN209" i="1"/>
  <c r="EC177" i="1"/>
  <c r="DQ177" i="1"/>
  <c r="AD177" i="1"/>
  <c r="X179" i="1"/>
  <c r="BE194" i="1"/>
  <c r="BM194" i="1"/>
  <c r="BR194" i="1" s="1"/>
  <c r="BV194" i="1" s="1"/>
  <c r="CX155" i="1"/>
  <c r="DB155" i="1" s="1"/>
  <c r="DF155" i="1" s="1"/>
  <c r="DH155" i="1"/>
  <c r="CW121" i="1"/>
  <c r="DA121" i="1" s="1"/>
  <c r="DE121" i="1" s="1"/>
  <c r="DG121" i="1"/>
  <c r="CS116" i="1"/>
  <c r="CS117" i="1" s="1"/>
  <c r="CQ117" i="1"/>
  <c r="CQ135" i="1" s="1"/>
  <c r="AE101" i="1"/>
  <c r="AV99" i="1"/>
  <c r="AV101" i="1" s="1"/>
  <c r="AN99" i="1"/>
  <c r="AH99" i="1"/>
  <c r="AH101" i="1" s="1"/>
  <c r="AJ99" i="1"/>
  <c r="AJ101" i="1" s="1"/>
  <c r="CX94" i="1"/>
  <c r="DB94" i="1" s="1"/>
  <c r="DF94" i="1" s="1"/>
  <c r="DH94" i="1"/>
  <c r="DA213" i="1"/>
  <c r="DE210" i="1"/>
  <c r="X194" i="1"/>
  <c r="AD194" i="1" s="1"/>
  <c r="R195" i="1"/>
  <c r="AJ188" i="1"/>
  <c r="AJ191" i="1" s="1"/>
  <c r="AN188" i="1"/>
  <c r="AV188" i="1"/>
  <c r="AV191" i="1" s="1"/>
  <c r="AH188" i="1"/>
  <c r="AH191" i="1" s="1"/>
  <c r="AE191" i="1"/>
  <c r="EU183" i="1"/>
  <c r="EG183" i="1"/>
  <c r="EI183" i="1"/>
  <c r="EM183" i="1" s="1"/>
  <c r="AE171" i="1"/>
  <c r="Y174" i="1"/>
  <c r="EV131" i="1"/>
  <c r="EH131" i="1"/>
  <c r="EJ131" i="1"/>
  <c r="EN131" i="1" s="1"/>
  <c r="CX126" i="1"/>
  <c r="DB126" i="1" s="1"/>
  <c r="DF126" i="1" s="1"/>
  <c r="DH126" i="1"/>
  <c r="AI121" i="1"/>
  <c r="AC121" i="1"/>
  <c r="AG121" i="1"/>
  <c r="AM121" i="1"/>
  <c r="DH118" i="1"/>
  <c r="CX118" i="1"/>
  <c r="DB118" i="1" s="1"/>
  <c r="DF118" i="1" s="1"/>
  <c r="CU107" i="1"/>
  <c r="CW105" i="1"/>
  <c r="DG105" i="1"/>
  <c r="R164" i="1"/>
  <c r="X162" i="1"/>
  <c r="AE123" i="1"/>
  <c r="Y125" i="1"/>
  <c r="DF117" i="1"/>
  <c r="DJ115" i="1"/>
  <c r="DF110" i="1"/>
  <c r="DJ108" i="1"/>
  <c r="R93" i="1"/>
  <c r="X91" i="1"/>
  <c r="AU94" i="1"/>
  <c r="AM94" i="1"/>
  <c r="AG94" i="1"/>
  <c r="AC94" i="1"/>
  <c r="AI94" i="1"/>
  <c r="DN162" i="1"/>
  <c r="DJ164" i="1"/>
  <c r="BL109" i="1"/>
  <c r="AR105" i="1"/>
  <c r="AN107" i="1"/>
  <c r="EI81" i="1"/>
  <c r="EM81" i="1" s="1"/>
  <c r="EG81" i="1"/>
  <c r="AJ147" i="1"/>
  <c r="AJ156" i="1" s="1"/>
  <c r="AE156" i="1"/>
  <c r="AV147" i="1"/>
  <c r="AV156" i="1" s="1"/>
  <c r="AN147" i="1"/>
  <c r="AH147" i="1"/>
  <c r="AH156" i="1" s="1"/>
  <c r="X120" i="1"/>
  <c r="R122" i="1"/>
  <c r="R135" i="1" s="1"/>
  <c r="CQ110" i="1"/>
  <c r="CS109" i="1"/>
  <c r="CS110" i="1" s="1"/>
  <c r="DJ93" i="1"/>
  <c r="DN91" i="1"/>
  <c r="EU116" i="1"/>
  <c r="EG116" i="1"/>
  <c r="EI116" i="1"/>
  <c r="EM116" i="1" s="1"/>
  <c r="CW84" i="1"/>
  <c r="DA84" i="1" s="1"/>
  <c r="DE84" i="1" s="1"/>
  <c r="DG84" i="1"/>
  <c r="DF72" i="1"/>
  <c r="DB75" i="1"/>
  <c r="AE140" i="1"/>
  <c r="Y142" i="1"/>
  <c r="DA113" i="1"/>
  <c r="DE111" i="1"/>
  <c r="EG106" i="1"/>
  <c r="EI106" i="1"/>
  <c r="EM106" i="1" s="1"/>
  <c r="AU96" i="1"/>
  <c r="AU98" i="1" s="1"/>
  <c r="AM96" i="1"/>
  <c r="AG96" i="1"/>
  <c r="AG98" i="1" s="1"/>
  <c r="AC96" i="1"/>
  <c r="AD98" i="1"/>
  <c r="AC98" i="1" s="1"/>
  <c r="AI96" i="1"/>
  <c r="AI98" i="1" s="1"/>
  <c r="EU73" i="1"/>
  <c r="EG73" i="1"/>
  <c r="EI73" i="1"/>
  <c r="EM73" i="1" s="1"/>
  <c r="Y39" i="1"/>
  <c r="AE37" i="1"/>
  <c r="DA33" i="1"/>
  <c r="DE30" i="1"/>
  <c r="EV73" i="1"/>
  <c r="EH73" i="1"/>
  <c r="EJ73" i="1"/>
  <c r="EN73" i="1" s="1"/>
  <c r="EJ78" i="1"/>
  <c r="EN78" i="1" s="1"/>
  <c r="EV78" i="1"/>
  <c r="EH78" i="1"/>
  <c r="DB33" i="1"/>
  <c r="DF30" i="1"/>
  <c r="DE79" i="1"/>
  <c r="DI76" i="1"/>
  <c r="CX63" i="1"/>
  <c r="DH63" i="1"/>
  <c r="CV65" i="1"/>
  <c r="X50" i="1"/>
  <c r="R52" i="1"/>
  <c r="X79" i="1"/>
  <c r="AD76" i="1"/>
  <c r="CS64" i="1"/>
  <c r="CS65" i="1" s="1"/>
  <c r="EJ61" i="1"/>
  <c r="EN61" i="1" s="1"/>
  <c r="EV61" i="1"/>
  <c r="EH61" i="1"/>
  <c r="CT30" i="1"/>
  <c r="CT33" i="1" s="1"/>
  <c r="CR33" i="1"/>
  <c r="CR89" i="1" s="1"/>
  <c r="EW26" i="1"/>
  <c r="AJ15" i="1"/>
  <c r="AV15" i="1"/>
  <c r="AN15" i="1"/>
  <c r="AH15" i="1"/>
  <c r="EI20" i="1"/>
  <c r="EM20" i="1" s="1"/>
  <c r="EU20" i="1"/>
  <c r="EG20" i="1"/>
  <c r="AJ69" i="1"/>
  <c r="AJ71" i="1" s="1"/>
  <c r="AE71" i="1"/>
  <c r="AV69" i="1"/>
  <c r="AV71" i="1" s="1"/>
  <c r="AN69" i="1"/>
  <c r="AH69" i="1"/>
  <c r="AH71" i="1" s="1"/>
  <c r="DR27" i="1"/>
  <c r="ED27" i="1"/>
  <c r="DN29" i="1"/>
  <c r="EV18" i="1"/>
  <c r="EH18" i="1"/>
  <c r="EJ18" i="1"/>
  <c r="EN18" i="1" s="1"/>
  <c r="AE16" i="1"/>
  <c r="AJ14" i="1"/>
  <c r="AV14" i="1"/>
  <c r="AN14" i="1"/>
  <c r="AH14" i="1"/>
  <c r="EJ38" i="1"/>
  <c r="EN38" i="1" s="1"/>
  <c r="EV38" i="1"/>
  <c r="EH38" i="1"/>
  <c r="EJ22" i="1"/>
  <c r="EN22" i="1" s="1"/>
  <c r="EV22" i="1"/>
  <c r="EH22" i="1"/>
  <c r="ED53" i="1"/>
  <c r="BQ25" i="1"/>
  <c r="X16" i="1"/>
  <c r="AD14" i="1"/>
  <c r="EJ42" i="1"/>
  <c r="EN42" i="1" s="1"/>
  <c r="EV42" i="1"/>
  <c r="EH42" i="1"/>
  <c r="CW56" i="1"/>
  <c r="DA54" i="1"/>
  <c r="BN32" i="1"/>
  <c r="BQ32" i="1"/>
  <c r="DI66" i="1"/>
  <c r="AR66" i="1"/>
  <c r="DG59" i="1"/>
  <c r="DI309" i="1"/>
  <c r="CV308" i="1"/>
  <c r="AR296" i="1"/>
  <c r="AZ296" i="1" s="1"/>
  <c r="AY291" i="1"/>
  <c r="AY268" i="1"/>
  <c r="AZ243" i="1"/>
  <c r="DI239" i="1"/>
  <c r="BA285" i="1"/>
  <c r="AH256" i="1"/>
  <c r="CU260" i="1"/>
  <c r="AZ259" i="1"/>
  <c r="AZ232" i="1"/>
  <c r="CS228" i="1"/>
  <c r="CS240" i="1" s="1"/>
  <c r="BA278" i="1"/>
  <c r="AR244" i="1"/>
  <c r="AZ244" i="1" s="1"/>
  <c r="DI243" i="1"/>
  <c r="DM243" i="1" s="1"/>
  <c r="DQ243" i="1" s="1"/>
  <c r="DU243" i="1" s="1"/>
  <c r="DY243" i="1" s="1"/>
  <c r="EC243" i="1" s="1"/>
  <c r="AZ237" i="1"/>
  <c r="DF248" i="1"/>
  <c r="AZ227" i="1"/>
  <c r="AB223" i="1"/>
  <c r="CT213" i="1"/>
  <c r="DJ251" i="1"/>
  <c r="DN251" i="1" s="1"/>
  <c r="DR251" i="1" s="1"/>
  <c r="DV251" i="1" s="1"/>
  <c r="DZ251" i="1" s="1"/>
  <c r="ED251" i="1" s="1"/>
  <c r="AY208" i="1"/>
  <c r="CS185" i="1"/>
  <c r="AZ197" i="1"/>
  <c r="AY141" i="1"/>
  <c r="CV220" i="1"/>
  <c r="DI206" i="1"/>
  <c r="DM206" i="1" s="1"/>
  <c r="DQ206" i="1" s="1"/>
  <c r="DU206" i="1" s="1"/>
  <c r="DY206" i="1" s="1"/>
  <c r="EC206" i="1" s="1"/>
  <c r="AZ200" i="1"/>
  <c r="AH217" i="1"/>
  <c r="AY182" i="1"/>
  <c r="AZ130" i="1"/>
  <c r="AY126" i="1"/>
  <c r="AQ192" i="1"/>
  <c r="AY192" i="1" s="1"/>
  <c r="AY149" i="1"/>
  <c r="AZ141" i="1"/>
  <c r="AZ133" i="1"/>
  <c r="EW185" i="1"/>
  <c r="AQ95" i="1"/>
  <c r="AY95" i="1" s="1"/>
  <c r="AY155" i="1"/>
  <c r="AY145" i="1"/>
  <c r="DE98" i="1"/>
  <c r="AY200" i="1"/>
  <c r="CV171" i="1"/>
  <c r="AZ131" i="1"/>
  <c r="AZ116" i="1"/>
  <c r="AZ103" i="1"/>
  <c r="AR90" i="1"/>
  <c r="AZ90" i="1" s="1"/>
  <c r="AZ86" i="1"/>
  <c r="AZ81" i="1"/>
  <c r="AY78" i="1"/>
  <c r="Q89" i="1"/>
  <c r="Q310" i="1" s="1"/>
  <c r="DJ60" i="1"/>
  <c r="DJ40" i="1"/>
  <c r="DI27" i="1"/>
  <c r="DI17" i="1"/>
  <c r="CW24" i="1"/>
  <c r="CW26" i="1" s="1"/>
  <c r="AY44" i="1"/>
  <c r="CQ52" i="1"/>
  <c r="AZ38" i="1"/>
  <c r="AE36" i="1"/>
  <c r="AJ59" i="1"/>
  <c r="AY45" i="1"/>
  <c r="AZ20" i="1"/>
  <c r="AN10" i="1"/>
  <c r="AV7" i="1"/>
  <c r="BE9" i="1" l="1"/>
  <c r="BM9" i="1"/>
  <c r="BR9" i="1" s="1"/>
  <c r="BV9" i="1" s="1"/>
  <c r="BV10" i="1" s="1"/>
  <c r="BL297" i="1"/>
  <c r="BD297" i="1"/>
  <c r="BA297" i="1"/>
  <c r="BL97" i="1"/>
  <c r="BN97" i="1" s="1"/>
  <c r="BD97" i="1"/>
  <c r="DI298" i="1"/>
  <c r="DM298" i="1" s="1"/>
  <c r="DQ298" i="1" s="1"/>
  <c r="DU298" i="1" s="1"/>
  <c r="DY298" i="1" s="1"/>
  <c r="EC298" i="1" s="1"/>
  <c r="EG129" i="1"/>
  <c r="DJ121" i="1"/>
  <c r="DN121" i="1" s="1"/>
  <c r="DR121" i="1" s="1"/>
  <c r="DV121" i="1" s="1"/>
  <c r="DZ121" i="1" s="1"/>
  <c r="ED121" i="1" s="1"/>
  <c r="EJ121" i="1" s="1"/>
  <c r="EN121" i="1" s="1"/>
  <c r="DH56" i="1"/>
  <c r="DT310" i="1"/>
  <c r="DI158" i="1"/>
  <c r="DM158" i="1" s="1"/>
  <c r="DQ158" i="1" s="1"/>
  <c r="DU158" i="1" s="1"/>
  <c r="DY158" i="1" s="1"/>
  <c r="EC158" i="1" s="1"/>
  <c r="AQ247" i="1"/>
  <c r="AY247" i="1" s="1"/>
  <c r="AY18" i="1"/>
  <c r="BA18" i="1" s="1"/>
  <c r="BM6" i="1"/>
  <c r="BR6" i="1" s="1"/>
  <c r="BV6" i="1" s="1"/>
  <c r="CV104" i="1"/>
  <c r="AY229" i="1"/>
  <c r="DH167" i="1"/>
  <c r="DH168" i="1" s="1"/>
  <c r="CX167" i="1"/>
  <c r="CV168" i="1"/>
  <c r="DH102" i="1"/>
  <c r="DH104" i="1" s="1"/>
  <c r="BE170" i="1"/>
  <c r="BD206" i="1"/>
  <c r="BA58" i="1"/>
  <c r="BD58" i="1"/>
  <c r="EC291" i="1"/>
  <c r="DJ153" i="1"/>
  <c r="DN153" i="1" s="1"/>
  <c r="DR153" i="1" s="1"/>
  <c r="DV153" i="1" s="1"/>
  <c r="DZ153" i="1" s="1"/>
  <c r="ED153" i="1" s="1"/>
  <c r="CT223" i="1"/>
  <c r="DM179" i="1"/>
  <c r="BD106" i="1"/>
  <c r="BL206" i="1"/>
  <c r="BE242" i="1"/>
  <c r="BL246" i="1"/>
  <c r="BM258" i="1"/>
  <c r="BR258" i="1" s="1"/>
  <c r="BF310" i="1"/>
  <c r="AR8" i="1"/>
  <c r="AR10" i="1" s="1"/>
  <c r="BA246" i="1"/>
  <c r="DI259" i="1"/>
  <c r="DM259" i="1" s="1"/>
  <c r="DQ259" i="1" s="1"/>
  <c r="DU259" i="1" s="1"/>
  <c r="DY259" i="1" s="1"/>
  <c r="EC259" i="1" s="1"/>
  <c r="AY129" i="1"/>
  <c r="M310" i="1"/>
  <c r="X187" i="1"/>
  <c r="AD186" i="1"/>
  <c r="EI126" i="1"/>
  <c r="EM126" i="1" s="1"/>
  <c r="AY298" i="1"/>
  <c r="DI296" i="1"/>
  <c r="DM296" i="1" s="1"/>
  <c r="EJ192" i="1"/>
  <c r="EN192" i="1" s="1"/>
  <c r="EH129" i="1"/>
  <c r="BE246" i="1"/>
  <c r="BA167" i="1"/>
  <c r="DI211" i="1"/>
  <c r="DM211" i="1" s="1"/>
  <c r="DQ211" i="1" s="1"/>
  <c r="DU211" i="1" s="1"/>
  <c r="DY211" i="1" s="1"/>
  <c r="EC211" i="1" s="1"/>
  <c r="AY133" i="1"/>
  <c r="BA133" i="1" s="1"/>
  <c r="BM114" i="1"/>
  <c r="BR114" i="1" s="1"/>
  <c r="BE114" i="1"/>
  <c r="BA252" i="1"/>
  <c r="CW260" i="1"/>
  <c r="DJ247" i="1"/>
  <c r="DN247" i="1" s="1"/>
  <c r="DR247" i="1" s="1"/>
  <c r="DV247" i="1" s="1"/>
  <c r="DZ247" i="1" s="1"/>
  <c r="ED247" i="1" s="1"/>
  <c r="AH16" i="1"/>
  <c r="BD90" i="1"/>
  <c r="BL190" i="1"/>
  <c r="EU152" i="1"/>
  <c r="BD15" i="1"/>
  <c r="EU165" i="1"/>
  <c r="BA128" i="1"/>
  <c r="BD114" i="1"/>
  <c r="BM127" i="1"/>
  <c r="BR127" i="1" s="1"/>
  <c r="AG113" i="1"/>
  <c r="AQ148" i="1"/>
  <c r="AY148" i="1" s="1"/>
  <c r="BA148" i="1" s="1"/>
  <c r="BM45" i="1"/>
  <c r="BR45" i="1" s="1"/>
  <c r="BE45" i="1"/>
  <c r="BE229" i="1"/>
  <c r="BM229" i="1"/>
  <c r="BR229" i="1" s="1"/>
  <c r="BM173" i="1"/>
  <c r="BR173" i="1" s="1"/>
  <c r="BE173" i="1"/>
  <c r="BA173" i="1"/>
  <c r="BA230" i="1"/>
  <c r="BM230" i="1"/>
  <c r="BR230" i="1" s="1"/>
  <c r="BE230" i="1"/>
  <c r="AQ196" i="1"/>
  <c r="AY196" i="1" s="1"/>
  <c r="BL196" i="1" s="1"/>
  <c r="AQ244" i="1"/>
  <c r="AY244" i="1" s="1"/>
  <c r="BA244" i="1" s="1"/>
  <c r="AY227" i="1"/>
  <c r="AQ9" i="1"/>
  <c r="AY9" i="1" s="1"/>
  <c r="BA9" i="1" s="1"/>
  <c r="CU191" i="1"/>
  <c r="CW189" i="1"/>
  <c r="Y185" i="1"/>
  <c r="DI61" i="1"/>
  <c r="DM61" i="1" s="1"/>
  <c r="DQ61" i="1" s="1"/>
  <c r="DU61" i="1" s="1"/>
  <c r="DY61" i="1" s="1"/>
  <c r="EC61" i="1" s="1"/>
  <c r="EI61" i="1" s="1"/>
  <c r="EM61" i="1" s="1"/>
  <c r="DI214" i="1"/>
  <c r="DM214" i="1" s="1"/>
  <c r="DQ214" i="1" s="1"/>
  <c r="DU214" i="1" s="1"/>
  <c r="DY214" i="1" s="1"/>
  <c r="EC214" i="1" s="1"/>
  <c r="AQ94" i="1"/>
  <c r="AY94" i="1" s="1"/>
  <c r="AY116" i="1"/>
  <c r="BD116" i="1" s="1"/>
  <c r="EV58" i="1"/>
  <c r="DJ150" i="1"/>
  <c r="DN150" i="1" s="1"/>
  <c r="DR150" i="1" s="1"/>
  <c r="DV150" i="1" s="1"/>
  <c r="DZ150" i="1" s="1"/>
  <c r="ED150" i="1" s="1"/>
  <c r="BE70" i="1"/>
  <c r="DI231" i="1"/>
  <c r="DM231" i="1" s="1"/>
  <c r="DQ231" i="1" s="1"/>
  <c r="DU231" i="1" s="1"/>
  <c r="DY231" i="1" s="1"/>
  <c r="EC231" i="1" s="1"/>
  <c r="BE206" i="1"/>
  <c r="CL310" i="1"/>
  <c r="CN312" i="1" s="1"/>
  <c r="AY296" i="1"/>
  <c r="BL296" i="1" s="1"/>
  <c r="AR15" i="1"/>
  <c r="DJ263" i="1"/>
  <c r="CW213" i="1"/>
  <c r="BM301" i="1"/>
  <c r="BR301" i="1" s="1"/>
  <c r="AQ23" i="1"/>
  <c r="AY23" i="1" s="1"/>
  <c r="AY234" i="1"/>
  <c r="BD234" i="1" s="1"/>
  <c r="AY158" i="1"/>
  <c r="DI180" i="1"/>
  <c r="DM180" i="1" s="1"/>
  <c r="DQ180" i="1" s="1"/>
  <c r="DU180" i="1" s="1"/>
  <c r="DY180" i="1" s="1"/>
  <c r="EC180" i="1" s="1"/>
  <c r="W310" i="1"/>
  <c r="DJ154" i="1"/>
  <c r="DN154" i="1" s="1"/>
  <c r="DR154" i="1" s="1"/>
  <c r="DV154" i="1" s="1"/>
  <c r="DZ154" i="1" s="1"/>
  <c r="ED154" i="1" s="1"/>
  <c r="EV154" i="1" s="1"/>
  <c r="AR289" i="1"/>
  <c r="AR290" i="1" s="1"/>
  <c r="EV149" i="1"/>
  <c r="EH192" i="1"/>
  <c r="CV254" i="1"/>
  <c r="CV256" i="1" s="1"/>
  <c r="AZ8" i="1"/>
  <c r="AZ10" i="1" s="1"/>
  <c r="AQ197" i="1"/>
  <c r="AY197" i="1" s="1"/>
  <c r="BA197" i="1" s="1"/>
  <c r="AQ172" i="1"/>
  <c r="CU64" i="1"/>
  <c r="CU65" i="1" s="1"/>
  <c r="DJ138" i="1"/>
  <c r="DJ180" i="1"/>
  <c r="DN180" i="1" s="1"/>
  <c r="DR180" i="1" s="1"/>
  <c r="DV180" i="1" s="1"/>
  <c r="CG310" i="1"/>
  <c r="BL293" i="1"/>
  <c r="BQ293" i="1" s="1"/>
  <c r="BD293" i="1"/>
  <c r="BA175" i="1"/>
  <c r="BL175" i="1"/>
  <c r="BD175" i="1"/>
  <c r="EU247" i="1"/>
  <c r="EG247" i="1"/>
  <c r="EI247" i="1"/>
  <c r="EM247" i="1" s="1"/>
  <c r="BD118" i="1"/>
  <c r="BL118" i="1"/>
  <c r="BQ118" i="1" s="1"/>
  <c r="BU118" i="1" s="1"/>
  <c r="BA118" i="1"/>
  <c r="EJ153" i="1"/>
  <c r="EN153" i="1" s="1"/>
  <c r="ED297" i="1"/>
  <c r="EV297" i="1" s="1"/>
  <c r="BA229" i="1"/>
  <c r="DJ245" i="1"/>
  <c r="DN245" i="1" s="1"/>
  <c r="DR245" i="1" s="1"/>
  <c r="DV245" i="1" s="1"/>
  <c r="DZ245" i="1" s="1"/>
  <c r="ED245" i="1" s="1"/>
  <c r="EJ245" i="1" s="1"/>
  <c r="EN245" i="1" s="1"/>
  <c r="CV96" i="1"/>
  <c r="CT135" i="1"/>
  <c r="DI192" i="1"/>
  <c r="DM192" i="1" s="1"/>
  <c r="DQ192" i="1" s="1"/>
  <c r="DU192" i="1" s="1"/>
  <c r="DY192" i="1" s="1"/>
  <c r="EC192" i="1" s="1"/>
  <c r="EI192" i="1" s="1"/>
  <c r="EM192" i="1" s="1"/>
  <c r="BE182" i="1"/>
  <c r="DJ208" i="1"/>
  <c r="DN208" i="1" s="1"/>
  <c r="DR208" i="1" s="1"/>
  <c r="DV208" i="1" s="1"/>
  <c r="DZ208" i="1" s="1"/>
  <c r="ED208" i="1" s="1"/>
  <c r="EH208" i="1" s="1"/>
  <c r="DU8" i="1"/>
  <c r="DQ10" i="1"/>
  <c r="AD236" i="1"/>
  <c r="X238" i="1"/>
  <c r="AY169" i="1"/>
  <c r="AY170" i="1"/>
  <c r="DI154" i="1"/>
  <c r="DM154" i="1" s="1"/>
  <c r="DQ154" i="1" s="1"/>
  <c r="DU154" i="1" s="1"/>
  <c r="DY154" i="1" s="1"/>
  <c r="EC154" i="1" s="1"/>
  <c r="DI70" i="1"/>
  <c r="AY161" i="1"/>
  <c r="CQ89" i="1"/>
  <c r="CS89" i="1"/>
  <c r="BA109" i="1"/>
  <c r="CW207" i="1"/>
  <c r="BL114" i="1"/>
  <c r="BN114" i="1" s="1"/>
  <c r="BE97" i="1"/>
  <c r="EG126" i="1"/>
  <c r="CV186" i="1"/>
  <c r="AQ165" i="1"/>
  <c r="AY165" i="1" s="1"/>
  <c r="BA165" i="1" s="1"/>
  <c r="DJ118" i="1"/>
  <c r="DN118" i="1" s="1"/>
  <c r="DR118" i="1" s="1"/>
  <c r="DV118" i="1" s="1"/>
  <c r="DZ118" i="1" s="1"/>
  <c r="ED118" i="1" s="1"/>
  <c r="EV118" i="1" s="1"/>
  <c r="CS135" i="1"/>
  <c r="BA163" i="1"/>
  <c r="DI163" i="1"/>
  <c r="DM163" i="1" s="1"/>
  <c r="DQ163" i="1" s="1"/>
  <c r="DU163" i="1" s="1"/>
  <c r="DY163" i="1" s="1"/>
  <c r="EC163" i="1" s="1"/>
  <c r="EI163" i="1" s="1"/>
  <c r="EM163" i="1" s="1"/>
  <c r="DG207" i="1"/>
  <c r="DG209" i="1" s="1"/>
  <c r="DB248" i="1"/>
  <c r="BE42" i="1"/>
  <c r="EJ64" i="1"/>
  <c r="EN64" i="1" s="1"/>
  <c r="BE183" i="1"/>
  <c r="BA97" i="1"/>
  <c r="BD216" i="1"/>
  <c r="AG256" i="1"/>
  <c r="R262" i="1"/>
  <c r="BE23" i="1"/>
  <c r="R89" i="1"/>
  <c r="BE119" i="1"/>
  <c r="R223" i="1"/>
  <c r="DN132" i="1"/>
  <c r="DN134" i="1" s="1"/>
  <c r="CR135" i="1"/>
  <c r="CR310" i="1" s="1"/>
  <c r="CW237" i="1"/>
  <c r="DA237" i="1" s="1"/>
  <c r="DE237" i="1" s="1"/>
  <c r="DG237" i="1"/>
  <c r="DG238" i="1" s="1"/>
  <c r="DG240" i="1" s="1"/>
  <c r="AD99" i="1"/>
  <c r="X101" i="1"/>
  <c r="EJ190" i="1"/>
  <c r="EN190" i="1" s="1"/>
  <c r="EV190" i="1"/>
  <c r="EH190" i="1"/>
  <c r="DJ216" i="1"/>
  <c r="DN216" i="1" s="1"/>
  <c r="DR216" i="1" s="1"/>
  <c r="DV216" i="1" s="1"/>
  <c r="DZ216" i="1" s="1"/>
  <c r="EK310" i="1"/>
  <c r="EU158" i="1"/>
  <c r="EI158" i="1"/>
  <c r="EM158" i="1" s="1"/>
  <c r="EG158" i="1"/>
  <c r="DF125" i="1"/>
  <c r="DJ123" i="1"/>
  <c r="CW233" i="1"/>
  <c r="DG233" i="1"/>
  <c r="DG235" i="1" s="1"/>
  <c r="CU235" i="1"/>
  <c r="CU240" i="1" s="1"/>
  <c r="AV16" i="1"/>
  <c r="CU109" i="1"/>
  <c r="CU110" i="1" s="1"/>
  <c r="Y135" i="1"/>
  <c r="DI297" i="1"/>
  <c r="DM297" i="1" s="1"/>
  <c r="DQ297" i="1" s="1"/>
  <c r="DU297" i="1" s="1"/>
  <c r="DY297" i="1" s="1"/>
  <c r="EC297" i="1" s="1"/>
  <c r="EU297" i="1" s="1"/>
  <c r="CT89" i="1"/>
  <c r="AR35" i="1"/>
  <c r="DJ294" i="1"/>
  <c r="DN294" i="1" s="1"/>
  <c r="DR294" i="1" s="1"/>
  <c r="DV294" i="1" s="1"/>
  <c r="DZ294" i="1" s="1"/>
  <c r="ED294" i="1" s="1"/>
  <c r="EJ294" i="1" s="1"/>
  <c r="EN294" i="1" s="1"/>
  <c r="DH308" i="1"/>
  <c r="CT185" i="1"/>
  <c r="AY201" i="1"/>
  <c r="AR234" i="1"/>
  <c r="AQ152" i="1"/>
  <c r="AY152" i="1" s="1"/>
  <c r="BA152" i="1" s="1"/>
  <c r="DJ295" i="1"/>
  <c r="DN295" i="1" s="1"/>
  <c r="DR295" i="1" s="1"/>
  <c r="DV295" i="1" s="1"/>
  <c r="DZ295" i="1" s="1"/>
  <c r="ED295" i="1" s="1"/>
  <c r="DJ291" i="1"/>
  <c r="DN291" i="1" s="1"/>
  <c r="ED291" i="1" s="1"/>
  <c r="DJ292" i="1"/>
  <c r="DN292" i="1" s="1"/>
  <c r="DR292" i="1" s="1"/>
  <c r="DV292" i="1" s="1"/>
  <c r="DZ292" i="1" s="1"/>
  <c r="ED292" i="1" s="1"/>
  <c r="DE39" i="1"/>
  <c r="DI37" i="1"/>
  <c r="DJ246" i="1"/>
  <c r="DN246" i="1" s="1"/>
  <c r="DR246" i="1" s="1"/>
  <c r="DV246" i="1" s="1"/>
  <c r="DZ246" i="1" s="1"/>
  <c r="ED246" i="1" s="1"/>
  <c r="DH215" i="1"/>
  <c r="DH217" i="1" s="1"/>
  <c r="CX215" i="1"/>
  <c r="CV217" i="1"/>
  <c r="DJ214" i="1"/>
  <c r="DN214" i="1" s="1"/>
  <c r="DR214" i="1" s="1"/>
  <c r="DV214" i="1" s="1"/>
  <c r="DZ214" i="1" s="1"/>
  <c r="ED214" i="1" s="1"/>
  <c r="DI94" i="1"/>
  <c r="DM94" i="1" s="1"/>
  <c r="DQ94" i="1" s="1"/>
  <c r="DU94" i="1" s="1"/>
  <c r="DY94" i="1" s="1"/>
  <c r="EC94" i="1" s="1"/>
  <c r="DI252" i="1"/>
  <c r="DM252" i="1" s="1"/>
  <c r="DQ252" i="1" s="1"/>
  <c r="DU252" i="1" s="1"/>
  <c r="DY252" i="1" s="1"/>
  <c r="DI246" i="1"/>
  <c r="DM246" i="1" s="1"/>
  <c r="DQ246" i="1" s="1"/>
  <c r="DU246" i="1" s="1"/>
  <c r="DY246" i="1" s="1"/>
  <c r="EC246" i="1" s="1"/>
  <c r="BL95" i="1"/>
  <c r="BD95" i="1"/>
  <c r="BA95" i="1"/>
  <c r="BM197" i="1"/>
  <c r="BR197" i="1" s="1"/>
  <c r="BE197" i="1"/>
  <c r="BM296" i="1"/>
  <c r="BR296" i="1" s="1"/>
  <c r="BE296" i="1"/>
  <c r="BM212" i="1"/>
  <c r="BR212" i="1" s="1"/>
  <c r="BE212" i="1"/>
  <c r="BM245" i="1"/>
  <c r="BR245" i="1" s="1"/>
  <c r="BE245" i="1"/>
  <c r="DM309" i="1"/>
  <c r="AR14" i="1"/>
  <c r="AN16" i="1"/>
  <c r="EV27" i="1"/>
  <c r="EH27" i="1"/>
  <c r="EJ27" i="1"/>
  <c r="ED29" i="1"/>
  <c r="EV29" i="1" s="1"/>
  <c r="BA23" i="1"/>
  <c r="BL23" i="1"/>
  <c r="BD23" i="1"/>
  <c r="DI24" i="1"/>
  <c r="DI26" i="1" s="1"/>
  <c r="DM17" i="1"/>
  <c r="BM81" i="1"/>
  <c r="BR81" i="1" s="1"/>
  <c r="BV81" i="1" s="1"/>
  <c r="BV82" i="1" s="1"/>
  <c r="BE81" i="1"/>
  <c r="BE116" i="1"/>
  <c r="BM116" i="1"/>
  <c r="BR116" i="1" s="1"/>
  <c r="BV116" i="1" s="1"/>
  <c r="BV117" i="1" s="1"/>
  <c r="BA155" i="1"/>
  <c r="BL155" i="1"/>
  <c r="BD155" i="1"/>
  <c r="BA126" i="1"/>
  <c r="BL126" i="1"/>
  <c r="BD126" i="1"/>
  <c r="BA141" i="1"/>
  <c r="BL141" i="1"/>
  <c r="BD141" i="1"/>
  <c r="BL208" i="1"/>
  <c r="BD208" i="1"/>
  <c r="AN71" i="1"/>
  <c r="AR69" i="1"/>
  <c r="AD79" i="1"/>
  <c r="AC79" i="1" s="1"/>
  <c r="AI76" i="1"/>
  <c r="AI79" i="1" s="1"/>
  <c r="AU76" i="1"/>
  <c r="AU79" i="1" s="1"/>
  <c r="AM76" i="1"/>
  <c r="AG76" i="1"/>
  <c r="AG79" i="1" s="1"/>
  <c r="AC76" i="1"/>
  <c r="AQ96" i="1"/>
  <c r="AM98" i="1"/>
  <c r="EH118" i="1"/>
  <c r="EJ118" i="1"/>
  <c r="EN118" i="1" s="1"/>
  <c r="AN101" i="1"/>
  <c r="AR99" i="1"/>
  <c r="AU193" i="1"/>
  <c r="AM193" i="1"/>
  <c r="AG193" i="1"/>
  <c r="AC193" i="1"/>
  <c r="AI193" i="1"/>
  <c r="AD195" i="1"/>
  <c r="AC195" i="1" s="1"/>
  <c r="EU163" i="1"/>
  <c r="EG163" i="1"/>
  <c r="DI181" i="1"/>
  <c r="AU226" i="1"/>
  <c r="AU228" i="1" s="1"/>
  <c r="AM226" i="1"/>
  <c r="AG226" i="1"/>
  <c r="AG228" i="1" s="1"/>
  <c r="AC226" i="1"/>
  <c r="AD228" i="1"/>
  <c r="AC228" i="1" s="1"/>
  <c r="AI226" i="1"/>
  <c r="AI228" i="1" s="1"/>
  <c r="DE225" i="1"/>
  <c r="DI224" i="1"/>
  <c r="AU261" i="1"/>
  <c r="AM261" i="1"/>
  <c r="AG261" i="1"/>
  <c r="AC261" i="1"/>
  <c r="AI261" i="1"/>
  <c r="AR267" i="1"/>
  <c r="AN269" i="1"/>
  <c r="AZ308" i="1"/>
  <c r="BM307" i="1"/>
  <c r="BE307" i="1"/>
  <c r="BM19" i="1"/>
  <c r="BR19" i="1" s="1"/>
  <c r="BV19" i="1" s="1"/>
  <c r="BE19" i="1"/>
  <c r="BM21" i="1"/>
  <c r="BR21" i="1" s="1"/>
  <c r="BV21" i="1" s="1"/>
  <c r="BE21" i="1"/>
  <c r="CU122" i="1"/>
  <c r="CW120" i="1"/>
  <c r="DG120" i="1"/>
  <c r="AZ289" i="1"/>
  <c r="BM20" i="1"/>
  <c r="BR20" i="1" s="1"/>
  <c r="BV20" i="1" s="1"/>
  <c r="BE20" i="1"/>
  <c r="DN40" i="1"/>
  <c r="DJ43" i="1"/>
  <c r="BA78" i="1"/>
  <c r="BL78" i="1"/>
  <c r="BD78" i="1"/>
  <c r="BM103" i="1"/>
  <c r="BR103" i="1" s="1"/>
  <c r="BV103" i="1" s="1"/>
  <c r="BV104" i="1" s="1"/>
  <c r="BE103" i="1"/>
  <c r="BA189" i="1"/>
  <c r="BL189" i="1"/>
  <c r="BD189" i="1"/>
  <c r="BA145" i="1"/>
  <c r="BL145" i="1"/>
  <c r="BD145" i="1"/>
  <c r="BM141" i="1"/>
  <c r="BR141" i="1" s="1"/>
  <c r="BE141" i="1"/>
  <c r="BM100" i="1"/>
  <c r="BR100" i="1" s="1"/>
  <c r="BV100" i="1" s="1"/>
  <c r="BE100" i="1"/>
  <c r="EI206" i="1"/>
  <c r="EM206" i="1" s="1"/>
  <c r="EU206" i="1"/>
  <c r="EG206" i="1"/>
  <c r="CX220" i="1"/>
  <c r="DH220" i="1"/>
  <c r="CV221" i="1"/>
  <c r="EV251" i="1"/>
  <c r="EH251" i="1"/>
  <c r="EJ251" i="1"/>
  <c r="EN251" i="1" s="1"/>
  <c r="BM227" i="1"/>
  <c r="BR227" i="1" s="1"/>
  <c r="BE227" i="1"/>
  <c r="EU243" i="1"/>
  <c r="EI243" i="1"/>
  <c r="EM243" i="1" s="1"/>
  <c r="EG243" i="1"/>
  <c r="BM243" i="1"/>
  <c r="BR243" i="1" s="1"/>
  <c r="BE243" i="1"/>
  <c r="BA291" i="1"/>
  <c r="BL291" i="1"/>
  <c r="BD291" i="1"/>
  <c r="BM294" i="1"/>
  <c r="BR294" i="1" s="1"/>
  <c r="BE294" i="1"/>
  <c r="DM66" i="1"/>
  <c r="DA56" i="1"/>
  <c r="DE54" i="1"/>
  <c r="X52" i="1"/>
  <c r="AD50" i="1"/>
  <c r="DM76" i="1"/>
  <c r="DI79" i="1"/>
  <c r="AE39" i="1"/>
  <c r="AJ37" i="1"/>
  <c r="AJ39" i="1" s="1"/>
  <c r="AV37" i="1"/>
  <c r="AV39" i="1" s="1"/>
  <c r="AN37" i="1"/>
  <c r="AH37" i="1"/>
  <c r="AH39" i="1" s="1"/>
  <c r="AE142" i="1"/>
  <c r="AV140" i="1"/>
  <c r="AV142" i="1" s="1"/>
  <c r="AN140" i="1"/>
  <c r="AH140" i="1"/>
  <c r="AH142" i="1" s="1"/>
  <c r="AJ140" i="1"/>
  <c r="AJ142" i="1" s="1"/>
  <c r="DF75" i="1"/>
  <c r="DJ72" i="1"/>
  <c r="X122" i="1"/>
  <c r="AD120" i="1"/>
  <c r="X93" i="1"/>
  <c r="AD91" i="1"/>
  <c r="DN115" i="1"/>
  <c r="DJ117" i="1"/>
  <c r="AV171" i="1"/>
  <c r="AV174" i="1" s="1"/>
  <c r="AN171" i="1"/>
  <c r="AH171" i="1"/>
  <c r="AH174" i="1" s="1"/>
  <c r="AE174" i="1"/>
  <c r="AJ171" i="1"/>
  <c r="AJ174" i="1" s="1"/>
  <c r="AD179" i="1"/>
  <c r="AC179" i="1" s="1"/>
  <c r="AI177" i="1"/>
  <c r="AI179" i="1" s="1"/>
  <c r="AG177" i="1"/>
  <c r="AG179" i="1" s="1"/>
  <c r="AM177" i="1"/>
  <c r="AU177" i="1"/>
  <c r="AU179" i="1" s="1"/>
  <c r="AC177" i="1"/>
  <c r="EJ178" i="1"/>
  <c r="EN178" i="1" s="1"/>
  <c r="EV178" i="1"/>
  <c r="EH178" i="1"/>
  <c r="CX147" i="1"/>
  <c r="CV156" i="1"/>
  <c r="DH147" i="1"/>
  <c r="ED176" i="1"/>
  <c r="DR176" i="1"/>
  <c r="DV176" i="1" s="1"/>
  <c r="AE221" i="1"/>
  <c r="AE223" i="1" s="1"/>
  <c r="AH218" i="1"/>
  <c r="AH221" i="1" s="1"/>
  <c r="AV218" i="1"/>
  <c r="AV221" i="1" s="1"/>
  <c r="AN218" i="1"/>
  <c r="AJ218" i="1"/>
  <c r="AJ221" i="1" s="1"/>
  <c r="AE164" i="1"/>
  <c r="AJ162" i="1"/>
  <c r="AJ164" i="1" s="1"/>
  <c r="AV162" i="1"/>
  <c r="AV164" i="1" s="1"/>
  <c r="AH162" i="1"/>
  <c r="AH164" i="1" s="1"/>
  <c r="AN162" i="1"/>
  <c r="DR241" i="1"/>
  <c r="DJ265" i="1"/>
  <c r="DN263" i="1"/>
  <c r="X269" i="1"/>
  <c r="X271" i="1" s="1"/>
  <c r="AD267" i="1"/>
  <c r="DG308" i="1"/>
  <c r="BL6" i="1"/>
  <c r="BD6" i="1"/>
  <c r="BA6" i="1"/>
  <c r="BL9" i="1"/>
  <c r="BD9" i="1"/>
  <c r="BA20" i="1"/>
  <c r="BL20" i="1"/>
  <c r="BD20" i="1"/>
  <c r="DN166" i="1"/>
  <c r="BL250" i="1"/>
  <c r="BD250" i="1"/>
  <c r="DH233" i="1"/>
  <c r="CX233" i="1"/>
  <c r="CV235" i="1"/>
  <c r="CV240" i="1" s="1"/>
  <c r="DM40" i="1"/>
  <c r="DI43" i="1"/>
  <c r="BQ41" i="1"/>
  <c r="BU41" i="1" s="1"/>
  <c r="AN56" i="1"/>
  <c r="AR53" i="1"/>
  <c r="DB67" i="1"/>
  <c r="CX68" i="1"/>
  <c r="EJ81" i="1"/>
  <c r="EN81" i="1" s="1"/>
  <c r="EV81" i="1"/>
  <c r="EH81" i="1"/>
  <c r="BN190" i="1"/>
  <c r="BQ190" i="1"/>
  <c r="DB120" i="1"/>
  <c r="CX122" i="1"/>
  <c r="DQ195" i="1"/>
  <c r="DU193" i="1"/>
  <c r="DU195" i="1" s="1"/>
  <c r="DQ166" i="1"/>
  <c r="EJ194" i="1"/>
  <c r="EN194" i="1" s="1"/>
  <c r="EV194" i="1"/>
  <c r="EH194" i="1"/>
  <c r="EC178" i="1"/>
  <c r="DY179" i="1"/>
  <c r="DN179" i="1"/>
  <c r="DR177" i="1"/>
  <c r="ED177" i="1"/>
  <c r="X146" i="1"/>
  <c r="AD143" i="1"/>
  <c r="DB159" i="1"/>
  <c r="CX160" i="1"/>
  <c r="BQ252" i="1"/>
  <c r="BU252" i="1" s="1"/>
  <c r="BN252" i="1"/>
  <c r="AE160" i="1"/>
  <c r="AJ159" i="1"/>
  <c r="AJ160" i="1" s="1"/>
  <c r="AN159" i="1"/>
  <c r="AV159" i="1"/>
  <c r="AV160" i="1" s="1"/>
  <c r="AH159" i="1"/>
  <c r="AH160" i="1" s="1"/>
  <c r="CW248" i="1"/>
  <c r="DA242" i="1"/>
  <c r="AR256" i="1"/>
  <c r="AZ254" i="1"/>
  <c r="DA236" i="1"/>
  <c r="AM256" i="1"/>
  <c r="AQ254" i="1"/>
  <c r="AD235" i="1"/>
  <c r="AC235" i="1" s="1"/>
  <c r="AI233" i="1"/>
  <c r="AI235" i="1" s="1"/>
  <c r="AU233" i="1"/>
  <c r="AU235" i="1" s="1"/>
  <c r="AM233" i="1"/>
  <c r="AG233" i="1"/>
  <c r="AG235" i="1" s="1"/>
  <c r="AC233" i="1"/>
  <c r="AR249" i="1"/>
  <c r="AN253" i="1"/>
  <c r="DB266" i="1"/>
  <c r="CX271" i="1"/>
  <c r="BQ292" i="1"/>
  <c r="BQ297" i="1"/>
  <c r="BU297" i="1" s="1"/>
  <c r="BN297" i="1"/>
  <c r="CU36" i="1"/>
  <c r="CW34" i="1"/>
  <c r="DG34" i="1"/>
  <c r="BA119" i="1"/>
  <c r="BL119" i="1"/>
  <c r="BD119" i="1"/>
  <c r="BA158" i="1"/>
  <c r="BL158" i="1"/>
  <c r="BD158" i="1"/>
  <c r="BM121" i="1"/>
  <c r="BR121" i="1" s="1"/>
  <c r="BV121" i="1" s="1"/>
  <c r="BV122" i="1" s="1"/>
  <c r="BE121" i="1"/>
  <c r="EC190" i="1"/>
  <c r="FB2" i="1"/>
  <c r="BM172" i="1"/>
  <c r="BR172" i="1" s="1"/>
  <c r="BE172" i="1"/>
  <c r="BA214" i="1"/>
  <c r="BL214" i="1"/>
  <c r="BD214" i="1"/>
  <c r="BE268" i="1"/>
  <c r="BM268" i="1"/>
  <c r="BR268" i="1" s="1"/>
  <c r="BV268" i="1" s="1"/>
  <c r="BL300" i="1"/>
  <c r="BD300" i="1"/>
  <c r="BA300" i="1"/>
  <c r="BQ22" i="1"/>
  <c r="BQ19" i="1"/>
  <c r="BU19" i="1" s="1"/>
  <c r="AE49" i="1"/>
  <c r="AV46" i="1"/>
  <c r="AV49" i="1" s="1"/>
  <c r="AN46" i="1"/>
  <c r="AH46" i="1"/>
  <c r="AH49" i="1" s="1"/>
  <c r="AJ46" i="1"/>
  <c r="AJ49" i="1" s="1"/>
  <c r="AZ87" i="1"/>
  <c r="X33" i="1"/>
  <c r="AD30" i="1"/>
  <c r="AN62" i="1"/>
  <c r="AR60" i="1"/>
  <c r="X24" i="1"/>
  <c r="X26" i="1" s="1"/>
  <c r="AD17" i="1"/>
  <c r="AQ111" i="1"/>
  <c r="AM113" i="1"/>
  <c r="AR217" i="1"/>
  <c r="AZ215" i="1"/>
  <c r="EV182" i="1"/>
  <c r="EH182" i="1"/>
  <c r="EJ182" i="1"/>
  <c r="EN182" i="1" s="1"/>
  <c r="DG174" i="1"/>
  <c r="AV266" i="1"/>
  <c r="AV271" i="1" s="1"/>
  <c r="AN266" i="1"/>
  <c r="AH266" i="1"/>
  <c r="AH271" i="1" s="1"/>
  <c r="AJ266" i="1"/>
  <c r="AJ271" i="1" s="1"/>
  <c r="AE271" i="1"/>
  <c r="DQ222" i="1"/>
  <c r="DB236" i="1"/>
  <c r="CW256" i="1"/>
  <c r="DA255" i="1"/>
  <c r="BN294" i="1"/>
  <c r="BQ294" i="1"/>
  <c r="DJ289" i="1"/>
  <c r="DF290" i="1"/>
  <c r="BM22" i="1"/>
  <c r="BR22" i="1" s="1"/>
  <c r="BV22" i="1" s="1"/>
  <c r="BE22" i="1"/>
  <c r="EI55" i="1"/>
  <c r="EM55" i="1" s="1"/>
  <c r="EU55" i="1"/>
  <c r="EG55" i="1"/>
  <c r="DN46" i="1"/>
  <c r="DJ49" i="1"/>
  <c r="DI125" i="1"/>
  <c r="DM123" i="1"/>
  <c r="BA211" i="1"/>
  <c r="BL211" i="1"/>
  <c r="BD211" i="1"/>
  <c r="BA136" i="1"/>
  <c r="BL136" i="1"/>
  <c r="BD136" i="1"/>
  <c r="BM94" i="1"/>
  <c r="BR94" i="1" s="1"/>
  <c r="BV94" i="1" s="1"/>
  <c r="BE94" i="1"/>
  <c r="BM154" i="1"/>
  <c r="BR154" i="1" s="1"/>
  <c r="BV154" i="1" s="1"/>
  <c r="BE154" i="1"/>
  <c r="EV247" i="1"/>
  <c r="EH247" i="1"/>
  <c r="EJ247" i="1"/>
  <c r="EN247" i="1" s="1"/>
  <c r="BM175" i="1"/>
  <c r="BR175" i="1" s="1"/>
  <c r="BE175" i="1"/>
  <c r="CX227" i="1"/>
  <c r="CV228" i="1"/>
  <c r="DH227" i="1"/>
  <c r="EG258" i="1"/>
  <c r="EU258" i="1"/>
  <c r="EI258" i="1"/>
  <c r="EM258" i="1" s="1"/>
  <c r="BM300" i="1"/>
  <c r="BR300" i="1" s="1"/>
  <c r="BV300" i="1" s="1"/>
  <c r="BE300" i="1"/>
  <c r="ED300" i="1"/>
  <c r="DR300" i="1"/>
  <c r="DV300" i="1" s="1"/>
  <c r="BM295" i="1"/>
  <c r="BR295" i="1" s="1"/>
  <c r="BE295" i="1"/>
  <c r="DF24" i="1"/>
  <c r="DF26" i="1" s="1"/>
  <c r="DJ17" i="1"/>
  <c r="X71" i="1"/>
  <c r="AD69" i="1"/>
  <c r="AN117" i="1"/>
  <c r="AR115" i="1"/>
  <c r="AE168" i="1"/>
  <c r="AV166" i="1"/>
  <c r="AV168" i="1" s="1"/>
  <c r="AN166" i="1"/>
  <c r="EI127" i="1"/>
  <c r="EM127" i="1" s="1"/>
  <c r="EU127" i="1"/>
  <c r="EG127" i="1"/>
  <c r="X104" i="1"/>
  <c r="AD102" i="1"/>
  <c r="EV87" i="1"/>
  <c r="EH87" i="1"/>
  <c r="EJ87" i="1"/>
  <c r="EN87" i="1" s="1"/>
  <c r="AN98" i="1"/>
  <c r="AR96" i="1"/>
  <c r="EJ170" i="1"/>
  <c r="EN170" i="1" s="1"/>
  <c r="EV170" i="1"/>
  <c r="EH170" i="1"/>
  <c r="X191" i="1"/>
  <c r="AD188" i="1"/>
  <c r="EJ163" i="1"/>
  <c r="EN163" i="1" s="1"/>
  <c r="EV163" i="1"/>
  <c r="EH163" i="1"/>
  <c r="EN140" i="1"/>
  <c r="DA167" i="1"/>
  <c r="CW168" i="1"/>
  <c r="DA159" i="1"/>
  <c r="CW160" i="1"/>
  <c r="CW164" i="1"/>
  <c r="DA162" i="1"/>
  <c r="X240" i="1"/>
  <c r="AD239" i="1"/>
  <c r="AR263" i="1"/>
  <c r="AN265" i="1"/>
  <c r="AD302" i="1"/>
  <c r="X308" i="1"/>
  <c r="ED112" i="1"/>
  <c r="DZ113" i="1"/>
  <c r="EV28" i="1"/>
  <c r="EH28" i="1"/>
  <c r="EJ28" i="1"/>
  <c r="EN28" i="1" s="1"/>
  <c r="DR88" i="1"/>
  <c r="DG228" i="1"/>
  <c r="DI84" i="1"/>
  <c r="DM84" i="1" s="1"/>
  <c r="DQ84" i="1" s="1"/>
  <c r="DU84" i="1" s="1"/>
  <c r="DY84" i="1" s="1"/>
  <c r="EC84" i="1" s="1"/>
  <c r="DJ94" i="1"/>
  <c r="DN94" i="1" s="1"/>
  <c r="DR94" i="1" s="1"/>
  <c r="DV94" i="1" s="1"/>
  <c r="DZ94" i="1" s="1"/>
  <c r="ED94" i="1" s="1"/>
  <c r="AJ16" i="1"/>
  <c r="DJ155" i="1"/>
  <c r="DN155" i="1" s="1"/>
  <c r="DR155" i="1" s="1"/>
  <c r="DV155" i="1" s="1"/>
  <c r="DZ155" i="1" s="1"/>
  <c r="ED155" i="1" s="1"/>
  <c r="CU250" i="1"/>
  <c r="CV262" i="1"/>
  <c r="AQ295" i="1"/>
  <c r="AY295" i="1" s="1"/>
  <c r="AR67" i="1"/>
  <c r="AZ67" i="1" s="1"/>
  <c r="DJ37" i="1"/>
  <c r="DJ106" i="1"/>
  <c r="DN106" i="1" s="1"/>
  <c r="DR106" i="1" s="1"/>
  <c r="DV106" i="1" s="1"/>
  <c r="DZ106" i="1" s="1"/>
  <c r="ED106" i="1" s="1"/>
  <c r="DN184" i="1"/>
  <c r="DJ148" i="1"/>
  <c r="DN148" i="1" s="1"/>
  <c r="DR148" i="1" s="1"/>
  <c r="DV148" i="1" s="1"/>
  <c r="DZ148" i="1" s="1"/>
  <c r="ED148" i="1" s="1"/>
  <c r="AQ157" i="1"/>
  <c r="AY157" i="1" s="1"/>
  <c r="AQ203" i="1"/>
  <c r="AY203" i="1" s="1"/>
  <c r="DI148" i="1"/>
  <c r="DM148" i="1" s="1"/>
  <c r="DQ148" i="1" s="1"/>
  <c r="DU148" i="1" s="1"/>
  <c r="DY148" i="1" s="1"/>
  <c r="DI151" i="1"/>
  <c r="DM151" i="1" s="1"/>
  <c r="DQ151" i="1" s="1"/>
  <c r="DU151" i="1" s="1"/>
  <c r="DY151" i="1" s="1"/>
  <c r="EC151" i="1" s="1"/>
  <c r="AQ202" i="1"/>
  <c r="AY202" i="1" s="1"/>
  <c r="AQ232" i="1"/>
  <c r="AY232" i="1" s="1"/>
  <c r="DI251" i="1"/>
  <c r="DM251" i="1" s="1"/>
  <c r="DJ259" i="1"/>
  <c r="DN259" i="1" s="1"/>
  <c r="DR259" i="1" s="1"/>
  <c r="DV259" i="1" s="1"/>
  <c r="DZ259" i="1" s="1"/>
  <c r="ED259" i="1" s="1"/>
  <c r="AR12" i="1"/>
  <c r="AZ12" i="1" s="1"/>
  <c r="AQ70" i="1"/>
  <c r="AY70" i="1" s="1"/>
  <c r="AQ138" i="1"/>
  <c r="AY138" i="1" s="1"/>
  <c r="DI149" i="1"/>
  <c r="DM149" i="1" s="1"/>
  <c r="DQ149" i="1" s="1"/>
  <c r="DU149" i="1" s="1"/>
  <c r="DY149" i="1" s="1"/>
  <c r="EC149" i="1" s="1"/>
  <c r="BA307" i="1"/>
  <c r="AV13" i="1"/>
  <c r="AQ100" i="1"/>
  <c r="AY100" i="1" s="1"/>
  <c r="CV105" i="1"/>
  <c r="AQ150" i="1"/>
  <c r="AY150" i="1" s="1"/>
  <c r="DI155" i="1"/>
  <c r="DM155" i="1" s="1"/>
  <c r="DQ155" i="1" s="1"/>
  <c r="DU155" i="1" s="1"/>
  <c r="DY155" i="1" s="1"/>
  <c r="EC155" i="1" s="1"/>
  <c r="BN285" i="1"/>
  <c r="AQ255" i="1"/>
  <c r="AY255" i="1" s="1"/>
  <c r="AQ258" i="1"/>
  <c r="AY258" i="1" s="1"/>
  <c r="DI176" i="1"/>
  <c r="DM176" i="1" s="1"/>
  <c r="DQ176" i="1" s="1"/>
  <c r="DU176" i="1" s="1"/>
  <c r="DY176" i="1" s="1"/>
  <c r="EC176" i="1" s="1"/>
  <c r="DI295" i="1"/>
  <c r="DM295" i="1" s="1"/>
  <c r="DQ295" i="1" s="1"/>
  <c r="DU295" i="1" s="1"/>
  <c r="DY295" i="1" s="1"/>
  <c r="EC295" i="1" s="1"/>
  <c r="DI47" i="1"/>
  <c r="DM47" i="1" s="1"/>
  <c r="DQ47" i="1" s="1"/>
  <c r="DU47" i="1" s="1"/>
  <c r="DY47" i="1" s="1"/>
  <c r="EC47" i="1" s="1"/>
  <c r="DJ84" i="1"/>
  <c r="DN84" i="1" s="1"/>
  <c r="DR84" i="1" s="1"/>
  <c r="DV84" i="1" s="1"/>
  <c r="DZ84" i="1" s="1"/>
  <c r="ED84" i="1" s="1"/>
  <c r="BM90" i="1"/>
  <c r="BR90" i="1" s="1"/>
  <c r="BE90" i="1"/>
  <c r="BA182" i="1"/>
  <c r="BL182" i="1"/>
  <c r="BD182" i="1"/>
  <c r="BA245" i="1"/>
  <c r="BD245" i="1"/>
  <c r="BL245" i="1"/>
  <c r="DM239" i="1"/>
  <c r="DR29" i="1"/>
  <c r="DV27" i="1"/>
  <c r="DV29" i="1" s="1"/>
  <c r="DG64" i="1"/>
  <c r="DG65" i="1" s="1"/>
  <c r="CX65" i="1"/>
  <c r="DB63" i="1"/>
  <c r="BQ109" i="1"/>
  <c r="AE125" i="1"/>
  <c r="AV123" i="1"/>
  <c r="AV125" i="1" s="1"/>
  <c r="AN123" i="1"/>
  <c r="AH123" i="1"/>
  <c r="AH125" i="1" s="1"/>
  <c r="AJ123" i="1"/>
  <c r="AJ125" i="1" s="1"/>
  <c r="X164" i="1"/>
  <c r="AD162" i="1"/>
  <c r="AN191" i="1"/>
  <c r="AR188" i="1"/>
  <c r="DE213" i="1"/>
  <c r="DI210" i="1"/>
  <c r="EI177" i="1"/>
  <c r="EC179" i="1"/>
  <c r="EU179" i="1" s="1"/>
  <c r="EU177" i="1"/>
  <c r="EG177" i="1"/>
  <c r="AZ208" i="1"/>
  <c r="AR209" i="1"/>
  <c r="AD168" i="1"/>
  <c r="AC168" i="1" s="1"/>
  <c r="AI166" i="1"/>
  <c r="AI168" i="1" s="1"/>
  <c r="AU166" i="1"/>
  <c r="AU168" i="1" s="1"/>
  <c r="AM166" i="1"/>
  <c r="AC166" i="1"/>
  <c r="AG166" i="1"/>
  <c r="AG168" i="1" s="1"/>
  <c r="AE104" i="1"/>
  <c r="AJ102" i="1"/>
  <c r="AJ104" i="1" s="1"/>
  <c r="AH102" i="1"/>
  <c r="AH104" i="1" s="1"/>
  <c r="AN102" i="1"/>
  <c r="AV102" i="1"/>
  <c r="AV104" i="1" s="1"/>
  <c r="AN146" i="1"/>
  <c r="AR143" i="1"/>
  <c r="DN218" i="1"/>
  <c r="EJ200" i="1"/>
  <c r="EN200" i="1" s="1"/>
  <c r="EV200" i="1"/>
  <c r="EH200" i="1"/>
  <c r="AR228" i="1"/>
  <c r="AZ226" i="1"/>
  <c r="X248" i="1"/>
  <c r="AD241" i="1"/>
  <c r="DB252" i="1"/>
  <c r="CX253" i="1"/>
  <c r="AI266" i="1"/>
  <c r="AM266" i="1"/>
  <c r="AC266" i="1"/>
  <c r="AG266" i="1"/>
  <c r="AU266" i="1"/>
  <c r="BN273" i="1"/>
  <c r="BQ273" i="1"/>
  <c r="BU273" i="1" s="1"/>
  <c r="EI297" i="1"/>
  <c r="EM297" i="1" s="1"/>
  <c r="BN309" i="1"/>
  <c r="BQ309" i="1"/>
  <c r="EU298" i="1"/>
  <c r="EG298" i="1"/>
  <c r="EI298" i="1"/>
  <c r="EM298" i="1" s="1"/>
  <c r="BL38" i="1"/>
  <c r="BD38" i="1"/>
  <c r="BA38" i="1"/>
  <c r="EI48" i="1"/>
  <c r="EM48" i="1" s="1"/>
  <c r="EU48" i="1"/>
  <c r="EG48" i="1"/>
  <c r="DB56" i="1"/>
  <c r="DF54" i="1"/>
  <c r="DN10" i="1"/>
  <c r="ED8" i="1"/>
  <c r="DR8" i="1"/>
  <c r="AM43" i="1"/>
  <c r="AQ40" i="1"/>
  <c r="BQ12" i="1"/>
  <c r="BU12" i="1" s="1"/>
  <c r="DA63" i="1"/>
  <c r="AY87" i="1"/>
  <c r="BN92" i="1"/>
  <c r="BQ92" i="1"/>
  <c r="BU92" i="1" s="1"/>
  <c r="BU93" i="1" s="1"/>
  <c r="DM88" i="1"/>
  <c r="DG85" i="1"/>
  <c r="DF36" i="1"/>
  <c r="DJ34" i="1"/>
  <c r="DI80" i="1"/>
  <c r="DE82" i="1"/>
  <c r="DB102" i="1"/>
  <c r="CX104" i="1"/>
  <c r="BQ106" i="1"/>
  <c r="BQ216" i="1"/>
  <c r="DJ139" i="1"/>
  <c r="DN138" i="1"/>
  <c r="DR113" i="1"/>
  <c r="DV111" i="1"/>
  <c r="DV113" i="1" s="1"/>
  <c r="DH122" i="1"/>
  <c r="EV181" i="1"/>
  <c r="EH181" i="1"/>
  <c r="ED184" i="1"/>
  <c r="EJ181" i="1"/>
  <c r="BN206" i="1"/>
  <c r="BQ206" i="1"/>
  <c r="BU206" i="1" s="1"/>
  <c r="X217" i="1"/>
  <c r="AD215" i="1"/>
  <c r="BN220" i="1"/>
  <c r="BQ220" i="1"/>
  <c r="BU220" i="1" s="1"/>
  <c r="AE248" i="1"/>
  <c r="AE262" i="1" s="1"/>
  <c r="AJ241" i="1"/>
  <c r="AJ248" i="1" s="1"/>
  <c r="AJ262" i="1" s="1"/>
  <c r="AV241" i="1"/>
  <c r="AV248" i="1" s="1"/>
  <c r="AV262" i="1" s="1"/>
  <c r="AN241" i="1"/>
  <c r="AH241" i="1"/>
  <c r="AH248" i="1" s="1"/>
  <c r="AH262" i="1" s="1"/>
  <c r="BQ231" i="1"/>
  <c r="DA147" i="1"/>
  <c r="CW156" i="1"/>
  <c r="DR193" i="1"/>
  <c r="ED193" i="1"/>
  <c r="DN195" i="1"/>
  <c r="AZ233" i="1"/>
  <c r="AR235" i="1"/>
  <c r="DG248" i="1"/>
  <c r="BQ246" i="1"/>
  <c r="BU246" i="1" s="1"/>
  <c r="BN246" i="1"/>
  <c r="DB256" i="1"/>
  <c r="DF255" i="1"/>
  <c r="X265" i="1"/>
  <c r="AD263" i="1"/>
  <c r="CU269" i="1"/>
  <c r="CU271" i="1" s="1"/>
  <c r="CW267" i="1"/>
  <c r="DG267" i="1"/>
  <c r="X290" i="1"/>
  <c r="AD289" i="1"/>
  <c r="EJ297" i="1"/>
  <c r="EN297" i="1" s="1"/>
  <c r="BM44" i="1"/>
  <c r="BR44" i="1" s="1"/>
  <c r="BE44" i="1"/>
  <c r="AZ30" i="1"/>
  <c r="AR33" i="1"/>
  <c r="BM106" i="1"/>
  <c r="BR106" i="1" s="1"/>
  <c r="BV106" i="1" s="1"/>
  <c r="BE106" i="1"/>
  <c r="BM153" i="1"/>
  <c r="BR153" i="1" s="1"/>
  <c r="BV153" i="1" s="1"/>
  <c r="BE153" i="1"/>
  <c r="BM112" i="1"/>
  <c r="BR112" i="1" s="1"/>
  <c r="BV112" i="1" s="1"/>
  <c r="BV113" i="1" s="1"/>
  <c r="BE112" i="1"/>
  <c r="BA154" i="1"/>
  <c r="BL154" i="1"/>
  <c r="BD154" i="1"/>
  <c r="BM118" i="1"/>
  <c r="BR118" i="1" s="1"/>
  <c r="BE118" i="1"/>
  <c r="EV183" i="1"/>
  <c r="EH183" i="1"/>
  <c r="EJ183" i="1"/>
  <c r="EN183" i="1" s="1"/>
  <c r="BM124" i="1"/>
  <c r="BR124" i="1" s="1"/>
  <c r="BV124" i="1" s="1"/>
  <c r="BV125" i="1" s="1"/>
  <c r="BE124" i="1"/>
  <c r="BM211" i="1"/>
  <c r="BR211" i="1" s="1"/>
  <c r="BE211" i="1"/>
  <c r="BM192" i="1"/>
  <c r="BR192" i="1" s="1"/>
  <c r="BE192" i="1"/>
  <c r="BA183" i="1"/>
  <c r="BL183" i="1"/>
  <c r="BD183" i="1"/>
  <c r="BL244" i="1"/>
  <c r="BD244" i="1"/>
  <c r="BM293" i="1"/>
  <c r="BR293" i="1" s="1"/>
  <c r="BE293" i="1"/>
  <c r="DE57" i="1"/>
  <c r="DA59" i="1"/>
  <c r="AU5" i="1"/>
  <c r="AU7" i="1" s="1"/>
  <c r="AG5" i="1"/>
  <c r="AG7" i="1" s="1"/>
  <c r="AD7" i="1"/>
  <c r="AI5" i="1"/>
  <c r="AI7" i="1" s="1"/>
  <c r="Z5" i="1"/>
  <c r="AM5" i="1"/>
  <c r="AD10" i="1"/>
  <c r="AI8" i="1"/>
  <c r="AI10" i="1" s="1"/>
  <c r="Z8" i="1"/>
  <c r="AU8" i="1"/>
  <c r="AU10" i="1" s="1"/>
  <c r="AG8" i="1"/>
  <c r="AG10" i="1" s="1"/>
  <c r="AM8" i="1"/>
  <c r="BQ67" i="1"/>
  <c r="BU67" i="1" s="1"/>
  <c r="AR17" i="1"/>
  <c r="AN24" i="1"/>
  <c r="AN26" i="1" s="1"/>
  <c r="DE7" i="1"/>
  <c r="DI5" i="1"/>
  <c r="EC53" i="1"/>
  <c r="AD53" i="1"/>
  <c r="X56" i="1"/>
  <c r="AC85" i="1"/>
  <c r="AD36" i="1"/>
  <c r="AC36" i="1" s="1"/>
  <c r="AI34" i="1"/>
  <c r="AI36" i="1" s="1"/>
  <c r="AU34" i="1"/>
  <c r="AU36" i="1" s="1"/>
  <c r="AM34" i="1"/>
  <c r="AG34" i="1"/>
  <c r="AG36" i="1" s="1"/>
  <c r="AC34" i="1"/>
  <c r="DH85" i="1"/>
  <c r="AD107" i="1"/>
  <c r="AC107" i="1" s="1"/>
  <c r="AI105" i="1"/>
  <c r="AI107" i="1" s="1"/>
  <c r="AU105" i="1"/>
  <c r="AU107" i="1" s="1"/>
  <c r="AM105" i="1"/>
  <c r="AG105" i="1"/>
  <c r="AG107" i="1" s="1"/>
  <c r="AC105" i="1"/>
  <c r="DE138" i="1"/>
  <c r="DA139" i="1"/>
  <c r="EU208" i="1"/>
  <c r="EG208" i="1"/>
  <c r="EI208" i="1"/>
  <c r="EM208" i="1" s="1"/>
  <c r="AD171" i="1"/>
  <c r="X174" i="1"/>
  <c r="DG184" i="1"/>
  <c r="DH191" i="1"/>
  <c r="DJ210" i="1"/>
  <c r="AY225" i="1"/>
  <c r="BL224" i="1"/>
  <c r="BD224" i="1"/>
  <c r="BD225" i="1" s="1"/>
  <c r="BA224" i="1"/>
  <c r="BA225" i="1" s="1"/>
  <c r="DE249" i="1"/>
  <c r="AJ239" i="1"/>
  <c r="AJ240" i="1" s="1"/>
  <c r="AE240" i="1"/>
  <c r="AH239" i="1"/>
  <c r="AH240" i="1" s="1"/>
  <c r="AN239" i="1"/>
  <c r="AV239" i="1"/>
  <c r="AV240" i="1" s="1"/>
  <c r="DG256" i="1"/>
  <c r="AN260" i="1"/>
  <c r="AR257" i="1"/>
  <c r="EI259" i="1"/>
  <c r="EM259" i="1" s="1"/>
  <c r="EU259" i="1"/>
  <c r="EG259" i="1"/>
  <c r="BQ275" i="1"/>
  <c r="BU275" i="1" s="1"/>
  <c r="BN275" i="1"/>
  <c r="BL286" i="1"/>
  <c r="BL288" i="1" s="1"/>
  <c r="BN272" i="1"/>
  <c r="BN286" i="1" s="1"/>
  <c r="BN288" i="1" s="1"/>
  <c r="BQ272" i="1"/>
  <c r="DN307" i="1"/>
  <c r="BL54" i="1"/>
  <c r="BD54" i="1"/>
  <c r="BA54" i="1"/>
  <c r="BA21" i="1"/>
  <c r="BL21" i="1"/>
  <c r="BD21" i="1"/>
  <c r="EV55" i="1"/>
  <c r="EH55" i="1"/>
  <c r="EJ55" i="1"/>
  <c r="EN55" i="1" s="1"/>
  <c r="BA51" i="1"/>
  <c r="BL51" i="1"/>
  <c r="BD51" i="1"/>
  <c r="BA86" i="1"/>
  <c r="BL86" i="1"/>
  <c r="BD86" i="1"/>
  <c r="BA112" i="1"/>
  <c r="BL112" i="1"/>
  <c r="BD112" i="1"/>
  <c r="BM163" i="1"/>
  <c r="BR163" i="1" s="1"/>
  <c r="BE163" i="1"/>
  <c r="BA116" i="1"/>
  <c r="BL116" i="1"/>
  <c r="BM144" i="1"/>
  <c r="BR144" i="1" s="1"/>
  <c r="BE144" i="1"/>
  <c r="BA212" i="1"/>
  <c r="BL212" i="1"/>
  <c r="BD212" i="1"/>
  <c r="EU150" i="1"/>
  <c r="EG150" i="1"/>
  <c r="EI150" i="1"/>
  <c r="EM150" i="1" s="1"/>
  <c r="BA251" i="1"/>
  <c r="BD251" i="1"/>
  <c r="BL251" i="1"/>
  <c r="BA237" i="1"/>
  <c r="BL237" i="1"/>
  <c r="BD237" i="1"/>
  <c r="BM302" i="1"/>
  <c r="BR302" i="1" s="1"/>
  <c r="BE302" i="1"/>
  <c r="BA301" i="1"/>
  <c r="BL301" i="1"/>
  <c r="BD301" i="1"/>
  <c r="AR7" i="1"/>
  <c r="AZ5" i="1"/>
  <c r="EJ6" i="1"/>
  <c r="EN6" i="1" s="1"/>
  <c r="EV6" i="1"/>
  <c r="EH6" i="1"/>
  <c r="X29" i="1"/>
  <c r="AD27" i="1"/>
  <c r="AY39" i="1"/>
  <c r="BL37" i="1"/>
  <c r="BD37" i="1"/>
  <c r="AN52" i="1"/>
  <c r="AR50" i="1"/>
  <c r="CV98" i="1"/>
  <c r="DH96" i="1"/>
  <c r="AN93" i="1"/>
  <c r="AR91" i="1"/>
  <c r="BS88" i="1"/>
  <c r="BQ88" i="1"/>
  <c r="DA108" i="1"/>
  <c r="AD142" i="1"/>
  <c r="AC142" i="1" s="1"/>
  <c r="AI140" i="1"/>
  <c r="AI142" i="1" s="1"/>
  <c r="AM140" i="1"/>
  <c r="AU140" i="1"/>
  <c r="AU142" i="1" s="1"/>
  <c r="AC140" i="1"/>
  <c r="AG140" i="1"/>
  <c r="AG142" i="1" s="1"/>
  <c r="AN184" i="1"/>
  <c r="AR181" i="1"/>
  <c r="BN173" i="1"/>
  <c r="BQ173" i="1"/>
  <c r="BU173" i="1" s="1"/>
  <c r="AR205" i="1"/>
  <c r="AZ199" i="1"/>
  <c r="DG164" i="1"/>
  <c r="CW187" i="1"/>
  <c r="DA186" i="1"/>
  <c r="DQ199" i="1"/>
  <c r="DM205" i="1"/>
  <c r="DH209" i="1"/>
  <c r="AR210" i="1"/>
  <c r="AN213" i="1"/>
  <c r="CX286" i="1"/>
  <c r="CX288" i="1" s="1"/>
  <c r="DB272" i="1"/>
  <c r="CW261" i="1"/>
  <c r="DG261" i="1"/>
  <c r="DA272" i="1"/>
  <c r="CW286" i="1"/>
  <c r="CW288" i="1" s="1"/>
  <c r="DR309" i="1"/>
  <c r="DA118" i="1"/>
  <c r="EU231" i="1"/>
  <c r="EG231" i="1"/>
  <c r="EI231" i="1"/>
  <c r="EM231" i="1" s="1"/>
  <c r="DG68" i="1"/>
  <c r="BQ144" i="1"/>
  <c r="BU144" i="1" s="1"/>
  <c r="DA227" i="1"/>
  <c r="CW228" i="1"/>
  <c r="EH287" i="1"/>
  <c r="EV287" i="1"/>
  <c r="EJ287" i="1"/>
  <c r="EN287" i="1" s="1"/>
  <c r="AZ35" i="1"/>
  <c r="BA35" i="1" s="1"/>
  <c r="BA81" i="1"/>
  <c r="BA90" i="1"/>
  <c r="AQ130" i="1"/>
  <c r="AY130" i="1" s="1"/>
  <c r="DM195" i="1"/>
  <c r="CU223" i="1"/>
  <c r="BN274" i="1"/>
  <c r="AN36" i="1"/>
  <c r="AZ234" i="1"/>
  <c r="CT262" i="1"/>
  <c r="AH13" i="1"/>
  <c r="AZ186" i="1"/>
  <c r="BN278" i="1"/>
  <c r="EW89" i="1"/>
  <c r="BM165" i="1"/>
  <c r="BR165" i="1" s="1"/>
  <c r="BE165" i="1"/>
  <c r="BL44" i="1"/>
  <c r="BQ44" i="1" s="1"/>
  <c r="BU44" i="1" s="1"/>
  <c r="BD44" i="1"/>
  <c r="BA44" i="1"/>
  <c r="BM131" i="1"/>
  <c r="BR131" i="1" s="1"/>
  <c r="BE131" i="1"/>
  <c r="BL197" i="1"/>
  <c r="BD197" i="1"/>
  <c r="DH65" i="1"/>
  <c r="DF33" i="1"/>
  <c r="DJ30" i="1"/>
  <c r="ED91" i="1"/>
  <c r="DR91" i="1"/>
  <c r="DN93" i="1"/>
  <c r="CW109" i="1"/>
  <c r="DA109" i="1" s="1"/>
  <c r="DE109" i="1" s="1"/>
  <c r="DG109" i="1"/>
  <c r="AR147" i="1"/>
  <c r="AN156" i="1"/>
  <c r="ED162" i="1"/>
  <c r="DR162" i="1"/>
  <c r="DN164" i="1"/>
  <c r="DN108" i="1"/>
  <c r="DJ110" i="1"/>
  <c r="DA105" i="1"/>
  <c r="CW107" i="1"/>
  <c r="AI194" i="1"/>
  <c r="AU194" i="1"/>
  <c r="AM194" i="1"/>
  <c r="AG194" i="1"/>
  <c r="AC194" i="1"/>
  <c r="DU177" i="1"/>
  <c r="DU179" i="1" s="1"/>
  <c r="DQ179" i="1"/>
  <c r="EN137" i="1"/>
  <c r="EC188" i="1"/>
  <c r="BN163" i="1"/>
  <c r="BQ163" i="1"/>
  <c r="BU163" i="1" s="1"/>
  <c r="BU164" i="1" s="1"/>
  <c r="EJ198" i="1"/>
  <c r="EN198" i="1" s="1"/>
  <c r="EV198" i="1"/>
  <c r="EH198" i="1"/>
  <c r="EU219" i="1"/>
  <c r="EG219" i="1"/>
  <c r="EI219" i="1"/>
  <c r="EM219" i="1" s="1"/>
  <c r="DJ222" i="1"/>
  <c r="AN238" i="1"/>
  <c r="AR236" i="1"/>
  <c r="BN277" i="1"/>
  <c r="BQ277" i="1"/>
  <c r="BU277" i="1" s="1"/>
  <c r="CX260" i="1"/>
  <c r="DB257" i="1"/>
  <c r="DN269" i="1"/>
  <c r="DR267" i="1"/>
  <c r="BQ279" i="1"/>
  <c r="BU279" i="1" s="1"/>
  <c r="BN279" i="1"/>
  <c r="DA299" i="1"/>
  <c r="CW308" i="1"/>
  <c r="BM64" i="1"/>
  <c r="BR64" i="1" s="1"/>
  <c r="BV64" i="1" s="1"/>
  <c r="BV65" i="1" s="1"/>
  <c r="BE64" i="1"/>
  <c r="BA28" i="1"/>
  <c r="BL28" i="1"/>
  <c r="BD28" i="1"/>
  <c r="BL35" i="1"/>
  <c r="BD35" i="1"/>
  <c r="BM25" i="1"/>
  <c r="BE25" i="1"/>
  <c r="BA25" i="1"/>
  <c r="DH86" i="1"/>
  <c r="CV89" i="1"/>
  <c r="CX86" i="1"/>
  <c r="AZ40" i="1"/>
  <c r="DH68" i="1"/>
  <c r="DA83" i="1"/>
  <c r="CW85" i="1"/>
  <c r="BN90" i="1"/>
  <c r="BQ90" i="1"/>
  <c r="BU90" i="1" s="1"/>
  <c r="AR108" i="1"/>
  <c r="AN110" i="1"/>
  <c r="BQ97" i="1"/>
  <c r="BU97" i="1" s="1"/>
  <c r="EC137" i="1"/>
  <c r="DY139" i="1"/>
  <c r="AD134" i="1"/>
  <c r="AU132" i="1"/>
  <c r="AU134" i="1" s="1"/>
  <c r="AM132" i="1"/>
  <c r="AG132" i="1"/>
  <c r="AG134" i="1" s="1"/>
  <c r="AC132" i="1"/>
  <c r="AI132" i="1"/>
  <c r="AI134" i="1" s="1"/>
  <c r="EJ103" i="1"/>
  <c r="EN103" i="1" s="1"/>
  <c r="EV103" i="1"/>
  <c r="EH103" i="1"/>
  <c r="EI112" i="1"/>
  <c r="EM112" i="1" s="1"/>
  <c r="EU112" i="1"/>
  <c r="EG112" i="1"/>
  <c r="EU193" i="1"/>
  <c r="EG193" i="1"/>
  <c r="EI193" i="1"/>
  <c r="BN204" i="1"/>
  <c r="BQ204" i="1"/>
  <c r="BU204" i="1" s="1"/>
  <c r="ED211" i="1"/>
  <c r="DJ219" i="1"/>
  <c r="DN219" i="1" s="1"/>
  <c r="DR219" i="1" s="1"/>
  <c r="DV219" i="1" s="1"/>
  <c r="DZ219" i="1" s="1"/>
  <c r="BN167" i="1"/>
  <c r="BQ167" i="1"/>
  <c r="BU167" i="1" s="1"/>
  <c r="DH160" i="1"/>
  <c r="X184" i="1"/>
  <c r="AD181" i="1"/>
  <c r="AD205" i="1"/>
  <c r="AC205" i="1" s="1"/>
  <c r="AU199" i="1"/>
  <c r="AU205" i="1" s="1"/>
  <c r="AM199" i="1"/>
  <c r="AG199" i="1"/>
  <c r="AG205" i="1" s="1"/>
  <c r="AC199" i="1"/>
  <c r="AI199" i="1"/>
  <c r="AI205" i="1" s="1"/>
  <c r="DG217" i="1"/>
  <c r="DA260" i="1"/>
  <c r="DE257" i="1"/>
  <c r="EC254" i="1"/>
  <c r="AD260" i="1"/>
  <c r="AC260" i="1" s="1"/>
  <c r="AU257" i="1"/>
  <c r="AU260" i="1" s="1"/>
  <c r="AG257" i="1"/>
  <c r="AG260" i="1" s="1"/>
  <c r="AI257" i="1"/>
  <c r="AI260" i="1" s="1"/>
  <c r="AC257" i="1"/>
  <c r="AM257" i="1"/>
  <c r="X253" i="1"/>
  <c r="AD249" i="1"/>
  <c r="DH271" i="1"/>
  <c r="DB298" i="1"/>
  <c r="CX308" i="1"/>
  <c r="BR309" i="1"/>
  <c r="BL42" i="1"/>
  <c r="BD42" i="1"/>
  <c r="BA42" i="1"/>
  <c r="DG60" i="1"/>
  <c r="CU62" i="1"/>
  <c r="CW60" i="1"/>
  <c r="BM78" i="1"/>
  <c r="BE78" i="1"/>
  <c r="BM77" i="1"/>
  <c r="BR77" i="1" s="1"/>
  <c r="BV77" i="1" s="1"/>
  <c r="BE77" i="1"/>
  <c r="BM151" i="1"/>
  <c r="BR151" i="1" s="1"/>
  <c r="BV151" i="1" s="1"/>
  <c r="BE151" i="1"/>
  <c r="BA178" i="1"/>
  <c r="BL178" i="1"/>
  <c r="BD178" i="1"/>
  <c r="BM152" i="1"/>
  <c r="BR152" i="1" s="1"/>
  <c r="BV152" i="1" s="1"/>
  <c r="BE152" i="1"/>
  <c r="BL180" i="1"/>
  <c r="BD180" i="1"/>
  <c r="BA180" i="1"/>
  <c r="BM128" i="1"/>
  <c r="BR128" i="1" s="1"/>
  <c r="BV128" i="1" s="1"/>
  <c r="BE128" i="1"/>
  <c r="DJ142" i="1"/>
  <c r="DN141" i="1"/>
  <c r="BA247" i="1"/>
  <c r="BL247" i="1"/>
  <c r="BD247" i="1"/>
  <c r="EI211" i="1"/>
  <c r="EM211" i="1" s="1"/>
  <c r="EU211" i="1"/>
  <c r="EG211" i="1"/>
  <c r="EH242" i="1"/>
  <c r="EJ242" i="1"/>
  <c r="EN242" i="1" s="1"/>
  <c r="EV242" i="1"/>
  <c r="AR59" i="1"/>
  <c r="AZ57" i="1"/>
  <c r="BQ15" i="1"/>
  <c r="AR36" i="1"/>
  <c r="AZ34" i="1"/>
  <c r="BN64" i="1"/>
  <c r="BQ64" i="1"/>
  <c r="DF13" i="1"/>
  <c r="DJ11" i="1"/>
  <c r="DF52" i="1"/>
  <c r="DJ50" i="1"/>
  <c r="DG49" i="1"/>
  <c r="CU104" i="1"/>
  <c r="CW102" i="1"/>
  <c r="DG102" i="1"/>
  <c r="DF79" i="1"/>
  <c r="DJ76" i="1"/>
  <c r="DH71" i="1"/>
  <c r="DJ69" i="1"/>
  <c r="DB83" i="1"/>
  <c r="CX85" i="1"/>
  <c r="DQ96" i="1"/>
  <c r="DM98" i="1"/>
  <c r="AV222" i="1"/>
  <c r="AJ222" i="1"/>
  <c r="AJ223" i="1" s="1"/>
  <c r="AN222" i="1"/>
  <c r="AH222" i="1"/>
  <c r="AH223" i="1" s="1"/>
  <c r="AN113" i="1"/>
  <c r="AR111" i="1"/>
  <c r="DF205" i="1"/>
  <c r="DJ199" i="1"/>
  <c r="AV177" i="1"/>
  <c r="AV179" i="1" s="1"/>
  <c r="AN177" i="1"/>
  <c r="AH177" i="1"/>
  <c r="AH179" i="1" s="1"/>
  <c r="AE179" i="1"/>
  <c r="AJ177" i="1"/>
  <c r="AJ179" i="1" s="1"/>
  <c r="DA182" i="1"/>
  <c r="CW184" i="1"/>
  <c r="DA171" i="1"/>
  <c r="CW174" i="1"/>
  <c r="DB189" i="1"/>
  <c r="CX191" i="1"/>
  <c r="DR224" i="1"/>
  <c r="DN225" i="1"/>
  <c r="BM225" i="1"/>
  <c r="BP224" i="1"/>
  <c r="BR224" i="1" s="1"/>
  <c r="BR225" i="1" s="1"/>
  <c r="BN307" i="1"/>
  <c r="BQ307" i="1"/>
  <c r="BM51" i="1"/>
  <c r="BR51" i="1" s="1"/>
  <c r="BV51" i="1" s="1"/>
  <c r="BV52" i="1" s="1"/>
  <c r="BE51" i="1"/>
  <c r="CU71" i="1"/>
  <c r="DG69" i="1"/>
  <c r="DG71" i="1" s="1"/>
  <c r="CW69" i="1"/>
  <c r="BM126" i="1"/>
  <c r="BR126" i="1" s="1"/>
  <c r="BE126" i="1"/>
  <c r="BM138" i="1"/>
  <c r="BR138" i="1" s="1"/>
  <c r="BE138" i="1"/>
  <c r="BM109" i="1"/>
  <c r="BR109" i="1" s="1"/>
  <c r="BV109" i="1" s="1"/>
  <c r="BV110" i="1" s="1"/>
  <c r="BE109" i="1"/>
  <c r="BA151" i="1"/>
  <c r="BL151" i="1"/>
  <c r="BD151" i="1"/>
  <c r="EJ151" i="1"/>
  <c r="EN151" i="1" s="1"/>
  <c r="EV151" i="1"/>
  <c r="EH151" i="1"/>
  <c r="BL219" i="1"/>
  <c r="BD219" i="1"/>
  <c r="BA219" i="1"/>
  <c r="BM216" i="1"/>
  <c r="BR216" i="1" s="1"/>
  <c r="BV216" i="1" s="1"/>
  <c r="BV217" i="1" s="1"/>
  <c r="BE216" i="1"/>
  <c r="BM247" i="1"/>
  <c r="BR247" i="1" s="1"/>
  <c r="BE247" i="1"/>
  <c r="BD270" i="1"/>
  <c r="BL270" i="1"/>
  <c r="BA270" i="1"/>
  <c r="BE292" i="1"/>
  <c r="BM292" i="1"/>
  <c r="BR292" i="1" s="1"/>
  <c r="BA296" i="1"/>
  <c r="BD296" i="1"/>
  <c r="AD59" i="1"/>
  <c r="AC59" i="1" s="1"/>
  <c r="AU57" i="1"/>
  <c r="AU59" i="1" s="1"/>
  <c r="AM57" i="1"/>
  <c r="AG57" i="1"/>
  <c r="AG59" i="1" s="1"/>
  <c r="AC57" i="1"/>
  <c r="AI57" i="1"/>
  <c r="AI59" i="1" s="1"/>
  <c r="DF7" i="1"/>
  <c r="DJ5" i="1"/>
  <c r="AN13" i="1"/>
  <c r="AR11" i="1"/>
  <c r="X62" i="1"/>
  <c r="AD60" i="1"/>
  <c r="AN75" i="1"/>
  <c r="AR72" i="1"/>
  <c r="DF16" i="1"/>
  <c r="DJ14" i="1"/>
  <c r="DF82" i="1"/>
  <c r="DJ80" i="1"/>
  <c r="EI130" i="1"/>
  <c r="EM130" i="1" s="1"/>
  <c r="EU130" i="1"/>
  <c r="EG130" i="1"/>
  <c r="AE85" i="1"/>
  <c r="AV83" i="1"/>
  <c r="AV85" i="1" s="1"/>
  <c r="AN83" i="1"/>
  <c r="AH83" i="1"/>
  <c r="AH85" i="1" s="1"/>
  <c r="AJ83" i="1"/>
  <c r="AJ85" i="1" s="1"/>
  <c r="DG110" i="1"/>
  <c r="AV137" i="1"/>
  <c r="AV139" i="1" s="1"/>
  <c r="AN137" i="1"/>
  <c r="AH137" i="1"/>
  <c r="AH139" i="1" s="1"/>
  <c r="AE139" i="1"/>
  <c r="AJ137" i="1"/>
  <c r="AJ139" i="1" s="1"/>
  <c r="CX101" i="1"/>
  <c r="DB99" i="1"/>
  <c r="ED165" i="1"/>
  <c r="DR165" i="1"/>
  <c r="DV165" i="1" s="1"/>
  <c r="X160" i="1"/>
  <c r="AD159" i="1"/>
  <c r="DG168" i="1"/>
  <c r="DG187" i="1"/>
  <c r="DB207" i="1"/>
  <c r="CX209" i="1"/>
  <c r="BR286" i="1"/>
  <c r="BR288" i="1" s="1"/>
  <c r="BV272" i="1"/>
  <c r="BV286" i="1" s="1"/>
  <c r="BV288" i="1" s="1"/>
  <c r="DM307" i="1"/>
  <c r="ED66" i="1"/>
  <c r="DR66" i="1"/>
  <c r="EV197" i="1"/>
  <c r="EH197" i="1"/>
  <c r="EJ197" i="1"/>
  <c r="EN197" i="1" s="1"/>
  <c r="DA67" i="1"/>
  <c r="CW68" i="1"/>
  <c r="DB212" i="1"/>
  <c r="CX213" i="1"/>
  <c r="EG19" i="1"/>
  <c r="EI19" i="1"/>
  <c r="EM19" i="1" s="1"/>
  <c r="EU19" i="1"/>
  <c r="DQ241" i="1"/>
  <c r="DE294" i="1"/>
  <c r="DM294" i="1"/>
  <c r="DQ294" i="1" s="1"/>
  <c r="DU294" i="1" s="1"/>
  <c r="DY294" i="1" s="1"/>
  <c r="EC294" i="1" s="1"/>
  <c r="EJ208" i="1"/>
  <c r="EN208" i="1" s="1"/>
  <c r="EV208" i="1"/>
  <c r="DR226" i="1"/>
  <c r="AQ121" i="1"/>
  <c r="AY121" i="1" s="1"/>
  <c r="DJ126" i="1"/>
  <c r="DN126" i="1" s="1"/>
  <c r="DI121" i="1"/>
  <c r="DM121" i="1" s="1"/>
  <c r="AY172" i="1"/>
  <c r="X195" i="1"/>
  <c r="DI153" i="1"/>
  <c r="DM153" i="1" s="1"/>
  <c r="DQ153" i="1" s="1"/>
  <c r="DU153" i="1" s="1"/>
  <c r="DY153" i="1" s="1"/>
  <c r="EC153" i="1" s="1"/>
  <c r="DI173" i="1"/>
  <c r="DM173" i="1" s="1"/>
  <c r="DQ173" i="1" s="1"/>
  <c r="DU173" i="1" s="1"/>
  <c r="DY173" i="1" s="1"/>
  <c r="EC173" i="1" s="1"/>
  <c r="AR308" i="1"/>
  <c r="AR41" i="1"/>
  <c r="AZ41" i="1" s="1"/>
  <c r="AQ124" i="1"/>
  <c r="AY124" i="1" s="1"/>
  <c r="AQ131" i="1"/>
  <c r="AY131" i="1" s="1"/>
  <c r="BA103" i="1"/>
  <c r="DI172" i="1"/>
  <c r="DM172" i="1" s="1"/>
  <c r="DQ172" i="1" s="1"/>
  <c r="DU172" i="1" s="1"/>
  <c r="DY172" i="1" s="1"/>
  <c r="EC172" i="1" s="1"/>
  <c r="DJ152" i="1"/>
  <c r="DN152" i="1" s="1"/>
  <c r="DR152" i="1" s="1"/>
  <c r="DV152" i="1" s="1"/>
  <c r="DZ152" i="1" s="1"/>
  <c r="ED152" i="1" s="1"/>
  <c r="DI216" i="1"/>
  <c r="DM216" i="1" s="1"/>
  <c r="DQ216" i="1" s="1"/>
  <c r="DU216" i="1" s="1"/>
  <c r="DY216" i="1" s="1"/>
  <c r="EC216" i="1" s="1"/>
  <c r="DI268" i="1"/>
  <c r="DM268" i="1" s="1"/>
  <c r="DQ268" i="1" s="1"/>
  <c r="DU268" i="1" s="1"/>
  <c r="DY268" i="1" s="1"/>
  <c r="EC268" i="1" s="1"/>
  <c r="DJ243" i="1"/>
  <c r="DJ158" i="1"/>
  <c r="DN158" i="1" s="1"/>
  <c r="DI212" i="1"/>
  <c r="DM212" i="1" s="1"/>
  <c r="DQ212" i="1" s="1"/>
  <c r="DU212" i="1" s="1"/>
  <c r="DY212" i="1" s="1"/>
  <c r="EC212" i="1" s="1"/>
  <c r="AZ250" i="1"/>
  <c r="AQ243" i="1"/>
  <c r="AY243" i="1" s="1"/>
  <c r="DJ231" i="1"/>
  <c r="DN231" i="1" s="1"/>
  <c r="DR231" i="1" s="1"/>
  <c r="DV231" i="1" s="1"/>
  <c r="DZ231" i="1" s="1"/>
  <c r="ED231" i="1" s="1"/>
  <c r="DG260" i="1"/>
  <c r="DI245" i="1"/>
  <c r="DM245" i="1" s="1"/>
  <c r="DQ245" i="1" s="1"/>
  <c r="DU245" i="1" s="1"/>
  <c r="DY245" i="1" s="1"/>
  <c r="EC245" i="1" s="1"/>
  <c r="AQ242" i="1"/>
  <c r="AY242" i="1" s="1"/>
  <c r="BA294" i="1"/>
  <c r="BA293" i="1"/>
  <c r="DJ296" i="1"/>
  <c r="DN296" i="1" s="1"/>
  <c r="DR296" i="1" s="1"/>
  <c r="DV296" i="1" s="1"/>
  <c r="DZ296" i="1" s="1"/>
  <c r="ED296" i="1" s="1"/>
  <c r="DH248" i="1"/>
  <c r="DJ172" i="1"/>
  <c r="DN172" i="1" s="1"/>
  <c r="DR172" i="1" s="1"/>
  <c r="DV172" i="1" s="1"/>
  <c r="DZ172" i="1" s="1"/>
  <c r="ED172" i="1" s="1"/>
  <c r="BL45" i="1"/>
  <c r="BQ45" i="1" s="1"/>
  <c r="BD45" i="1"/>
  <c r="BA45" i="1"/>
  <c r="CX171" i="1"/>
  <c r="CV174" i="1"/>
  <c r="DH171" i="1"/>
  <c r="BL192" i="1"/>
  <c r="BD192" i="1"/>
  <c r="BA192" i="1"/>
  <c r="BM200" i="1"/>
  <c r="BR200" i="1" s="1"/>
  <c r="BE200" i="1"/>
  <c r="BM237" i="1"/>
  <c r="BR237" i="1" s="1"/>
  <c r="BV237" i="1" s="1"/>
  <c r="BV238" i="1" s="1"/>
  <c r="BE237" i="1"/>
  <c r="BA268" i="1"/>
  <c r="BL268" i="1"/>
  <c r="BD268" i="1"/>
  <c r="BM38" i="1"/>
  <c r="BR38" i="1" s="1"/>
  <c r="BV38" i="1" s="1"/>
  <c r="BV39" i="1" s="1"/>
  <c r="BE38" i="1"/>
  <c r="DM27" i="1"/>
  <c r="DI29" i="1"/>
  <c r="BM86" i="1"/>
  <c r="BR86" i="1" s="1"/>
  <c r="BV86" i="1" s="1"/>
  <c r="BE86" i="1"/>
  <c r="BM133" i="1"/>
  <c r="BR133" i="1" s="1"/>
  <c r="BV133" i="1" s="1"/>
  <c r="BE133" i="1"/>
  <c r="BM130" i="1"/>
  <c r="BR130" i="1" s="1"/>
  <c r="BV130" i="1" s="1"/>
  <c r="BE130" i="1"/>
  <c r="BM161" i="1"/>
  <c r="BR161" i="1" s="1"/>
  <c r="BE161" i="1"/>
  <c r="BM232" i="1"/>
  <c r="BR232" i="1" s="1"/>
  <c r="BE232" i="1"/>
  <c r="AR68" i="1"/>
  <c r="AZ66" i="1"/>
  <c r="EJ53" i="1"/>
  <c r="EV53" i="1"/>
  <c r="EH53" i="1"/>
  <c r="DE33" i="1"/>
  <c r="DI30" i="1"/>
  <c r="BM28" i="1"/>
  <c r="BR28" i="1" s="1"/>
  <c r="BV28" i="1" s="1"/>
  <c r="BV29" i="1" s="1"/>
  <c r="BE28" i="1"/>
  <c r="DJ62" i="1"/>
  <c r="DN60" i="1"/>
  <c r="BA200" i="1"/>
  <c r="BL200" i="1"/>
  <c r="BD200" i="1"/>
  <c r="BA149" i="1"/>
  <c r="BL149" i="1"/>
  <c r="BD149" i="1"/>
  <c r="BM244" i="1"/>
  <c r="BR244" i="1" s="1"/>
  <c r="BE244" i="1"/>
  <c r="BE259" i="1"/>
  <c r="BM259" i="1"/>
  <c r="BR259" i="1" s="1"/>
  <c r="BA259" i="1"/>
  <c r="BL259" i="1"/>
  <c r="BD259" i="1"/>
  <c r="AD16" i="1"/>
  <c r="AC16" i="1" s="1"/>
  <c r="AI14" i="1"/>
  <c r="AI16" i="1" s="1"/>
  <c r="AU14" i="1"/>
  <c r="AU16" i="1" s="1"/>
  <c r="AM14" i="1"/>
  <c r="AG14" i="1"/>
  <c r="AG16" i="1" s="1"/>
  <c r="AC14" i="1"/>
  <c r="DE113" i="1"/>
  <c r="DI111" i="1"/>
  <c r="AZ105" i="1"/>
  <c r="AR107" i="1"/>
  <c r="DG107" i="1"/>
  <c r="X209" i="1"/>
  <c r="AD207" i="1"/>
  <c r="DA207" i="1"/>
  <c r="CW209" i="1"/>
  <c r="BN284" i="1"/>
  <c r="BQ284" i="1"/>
  <c r="BU284" i="1" s="1"/>
  <c r="DH260" i="1"/>
  <c r="EI58" i="1"/>
  <c r="EM58" i="1" s="1"/>
  <c r="EU58" i="1"/>
  <c r="EG58" i="1"/>
  <c r="DH237" i="1"/>
  <c r="CX237" i="1"/>
  <c r="DB237" i="1" s="1"/>
  <c r="DF237" i="1" s="1"/>
  <c r="X13" i="1"/>
  <c r="AD11" i="1"/>
  <c r="AN82" i="1"/>
  <c r="AR80" i="1"/>
  <c r="DI14" i="1"/>
  <c r="DE16" i="1"/>
  <c r="BN61" i="1"/>
  <c r="BQ61" i="1"/>
  <c r="BN77" i="1"/>
  <c r="BQ77" i="1"/>
  <c r="BQ128" i="1"/>
  <c r="BQ81" i="1"/>
  <c r="BU81" i="1" s="1"/>
  <c r="X65" i="1"/>
  <c r="AD63" i="1"/>
  <c r="DE146" i="1"/>
  <c r="DI143" i="1"/>
  <c r="BQ198" i="1"/>
  <c r="BN198" i="1"/>
  <c r="X110" i="1"/>
  <c r="AD108" i="1"/>
  <c r="DH186" i="1"/>
  <c r="CV187" i="1"/>
  <c r="EV121" i="1"/>
  <c r="DM133" i="1"/>
  <c r="DI134" i="1"/>
  <c r="BQ103" i="1"/>
  <c r="BN103" i="1"/>
  <c r="EJ111" i="1"/>
  <c r="ED113" i="1"/>
  <c r="EV113" i="1" s="1"/>
  <c r="EV111" i="1"/>
  <c r="EH111" i="1"/>
  <c r="ED143" i="1"/>
  <c r="DR143" i="1"/>
  <c r="DN146" i="1"/>
  <c r="DV181" i="1"/>
  <c r="DV184" i="1" s="1"/>
  <c r="DR184" i="1"/>
  <c r="BD165" i="1"/>
  <c r="EU169" i="1"/>
  <c r="EG169" i="1"/>
  <c r="EI169" i="1"/>
  <c r="EM169" i="1" s="1"/>
  <c r="DY195" i="1"/>
  <c r="EC194" i="1"/>
  <c r="EC195" i="1" s="1"/>
  <c r="EU195" i="1" s="1"/>
  <c r="X213" i="1"/>
  <c r="AD210" i="1"/>
  <c r="AD156" i="1"/>
  <c r="AC156" i="1" s="1"/>
  <c r="AU147" i="1"/>
  <c r="AU156" i="1" s="1"/>
  <c r="AM147" i="1"/>
  <c r="AG147" i="1"/>
  <c r="AG156" i="1" s="1"/>
  <c r="AC147" i="1"/>
  <c r="AI147" i="1"/>
  <c r="AI156" i="1" s="1"/>
  <c r="AE122" i="1"/>
  <c r="AJ120" i="1"/>
  <c r="AJ122" i="1" s="1"/>
  <c r="AH120" i="1"/>
  <c r="AH122" i="1" s="1"/>
  <c r="AN120" i="1"/>
  <c r="AV120" i="1"/>
  <c r="AV122" i="1" s="1"/>
  <c r="DG156" i="1"/>
  <c r="DQ218" i="1"/>
  <c r="DM221" i="1"/>
  <c r="EC218" i="1"/>
  <c r="DQ226" i="1"/>
  <c r="DJ249" i="1"/>
  <c r="DH253" i="1"/>
  <c r="BN230" i="1"/>
  <c r="BQ230" i="1"/>
  <c r="DR239" i="1"/>
  <c r="ED239" i="1"/>
  <c r="DA215" i="1"/>
  <c r="CW217" i="1"/>
  <c r="DJ250" i="1"/>
  <c r="DN250" i="1" s="1"/>
  <c r="DR250" i="1" s="1"/>
  <c r="DV250" i="1" s="1"/>
  <c r="DZ250" i="1" s="1"/>
  <c r="DI266" i="1"/>
  <c r="DZ260" i="1"/>
  <c r="ED258" i="1"/>
  <c r="BR282" i="1"/>
  <c r="BV282" i="1" s="1"/>
  <c r="BN282" i="1"/>
  <c r="EH294" i="1"/>
  <c r="BM58" i="1"/>
  <c r="BR58" i="1" s="1"/>
  <c r="BV58" i="1" s="1"/>
  <c r="BV59" i="1" s="1"/>
  <c r="BE58" i="1"/>
  <c r="BM149" i="1"/>
  <c r="BR149" i="1" s="1"/>
  <c r="BV149" i="1" s="1"/>
  <c r="BE149" i="1"/>
  <c r="BM150" i="1"/>
  <c r="BR150" i="1" s="1"/>
  <c r="BV150" i="1" s="1"/>
  <c r="BE150" i="1"/>
  <c r="DI117" i="1"/>
  <c r="DM115" i="1"/>
  <c r="BA153" i="1"/>
  <c r="BL153" i="1"/>
  <c r="BD153" i="1"/>
  <c r="BM201" i="1"/>
  <c r="BR201" i="1" s="1"/>
  <c r="BE201" i="1"/>
  <c r="BA201" i="1"/>
  <c r="BL201" i="1"/>
  <c r="BD201" i="1"/>
  <c r="BM231" i="1"/>
  <c r="BR231" i="1" s="1"/>
  <c r="BE231" i="1"/>
  <c r="BE255" i="1"/>
  <c r="BM255" i="1"/>
  <c r="BR255" i="1" s="1"/>
  <c r="BQ58" i="1"/>
  <c r="AR63" i="1"/>
  <c r="AN65" i="1"/>
  <c r="EJ9" i="1"/>
  <c r="EN9" i="1" s="1"/>
  <c r="EH9" i="1"/>
  <c r="EV9" i="1"/>
  <c r="AE29" i="1"/>
  <c r="AJ27" i="1"/>
  <c r="AJ29" i="1" s="1"/>
  <c r="AV27" i="1"/>
  <c r="AV29" i="1" s="1"/>
  <c r="AN27" i="1"/>
  <c r="AH27" i="1"/>
  <c r="AH29" i="1" s="1"/>
  <c r="DM52" i="1"/>
  <c r="DQ50" i="1"/>
  <c r="DF59" i="1"/>
  <c r="DJ57" i="1"/>
  <c r="AM85" i="1"/>
  <c r="AQ83" i="1"/>
  <c r="DA46" i="1"/>
  <c r="CW49" i="1"/>
  <c r="CX71" i="1"/>
  <c r="DB70" i="1"/>
  <c r="DA86" i="1"/>
  <c r="DI72" i="1"/>
  <c r="DE75" i="1"/>
  <c r="AD123" i="1"/>
  <c r="X125" i="1"/>
  <c r="X82" i="1"/>
  <c r="AD80" i="1"/>
  <c r="DQ91" i="1"/>
  <c r="DM93" i="1"/>
  <c r="AR132" i="1"/>
  <c r="AN134" i="1"/>
  <c r="X117" i="1"/>
  <c r="AD115" i="1"/>
  <c r="EV157" i="1"/>
  <c r="EH157" i="1"/>
  <c r="EJ157" i="1"/>
  <c r="EN157" i="1" s="1"/>
  <c r="AN195" i="1"/>
  <c r="AR193" i="1"/>
  <c r="AD218" i="1"/>
  <c r="X221" i="1"/>
  <c r="EH245" i="1"/>
  <c r="AZ261" i="1"/>
  <c r="EN254" i="1"/>
  <c r="EU291" i="1"/>
  <c r="EG291" i="1"/>
  <c r="EI291" i="1"/>
  <c r="EM291" i="1" s="1"/>
  <c r="DF261" i="1"/>
  <c r="EU301" i="1"/>
  <c r="EG301" i="1"/>
  <c r="EI301" i="1"/>
  <c r="EM301" i="1" s="1"/>
  <c r="DI13" i="1"/>
  <c r="DM11" i="1"/>
  <c r="BM18" i="1"/>
  <c r="BR18" i="1" s="1"/>
  <c r="BV18" i="1" s="1"/>
  <c r="BE18" i="1"/>
  <c r="BD133" i="1"/>
  <c r="BA127" i="1"/>
  <c r="BL127" i="1"/>
  <c r="BD127" i="1"/>
  <c r="EJ128" i="1"/>
  <c r="EN128" i="1" s="1"/>
  <c r="EV128" i="1"/>
  <c r="EH128" i="1"/>
  <c r="BA176" i="1"/>
  <c r="BL176" i="1"/>
  <c r="BD176" i="1"/>
  <c r="CU101" i="1"/>
  <c r="CW99" i="1"/>
  <c r="DG99" i="1"/>
  <c r="BM214" i="1"/>
  <c r="BR214" i="1" s="1"/>
  <c r="BE214" i="1"/>
  <c r="BM219" i="1"/>
  <c r="BR219" i="1" s="1"/>
  <c r="BV219" i="1" s="1"/>
  <c r="BE219" i="1"/>
  <c r="EJ234" i="1"/>
  <c r="EN234" i="1" s="1"/>
  <c r="EV234" i="1"/>
  <c r="EH234" i="1"/>
  <c r="BL227" i="1"/>
  <c r="BD227" i="1"/>
  <c r="BA227" i="1"/>
  <c r="BA298" i="1"/>
  <c r="BL298" i="1"/>
  <c r="BD298" i="1"/>
  <c r="BM8" i="1"/>
  <c r="EV51" i="1"/>
  <c r="EH51" i="1"/>
  <c r="EJ51" i="1"/>
  <c r="EN51" i="1" s="1"/>
  <c r="AM68" i="1"/>
  <c r="AQ66" i="1"/>
  <c r="AD46" i="1"/>
  <c r="X49" i="1"/>
  <c r="AZ76" i="1"/>
  <c r="AR79" i="1"/>
  <c r="AD139" i="1"/>
  <c r="AC139" i="1" s="1"/>
  <c r="AI137" i="1"/>
  <c r="AI139" i="1" s="1"/>
  <c r="AG137" i="1"/>
  <c r="AG139" i="1" s="1"/>
  <c r="AM137" i="1"/>
  <c r="AU137" i="1"/>
  <c r="AU139" i="1" s="1"/>
  <c r="AC137" i="1"/>
  <c r="X75" i="1"/>
  <c r="AD72" i="1"/>
  <c r="DH101" i="1"/>
  <c r="DQ141" i="1"/>
  <c r="DM142" i="1"/>
  <c r="EV150" i="1"/>
  <c r="EH150" i="1"/>
  <c r="EJ150" i="1"/>
  <c r="EN150" i="1" s="1"/>
  <c r="BD152" i="1"/>
  <c r="DG160" i="1"/>
  <c r="AD222" i="1"/>
  <c r="DG286" i="1"/>
  <c r="DG288" i="1" s="1"/>
  <c r="DQ296" i="1"/>
  <c r="DU296" i="1" s="1"/>
  <c r="DY296" i="1" s="1"/>
  <c r="EC296" i="1" s="1"/>
  <c r="EX2" i="1"/>
  <c r="DE290" i="1"/>
  <c r="DI289" i="1"/>
  <c r="EV295" i="1"/>
  <c r="EH295" i="1"/>
  <c r="EJ295" i="1"/>
  <c r="EN295" i="1" s="1"/>
  <c r="EG61" i="1"/>
  <c r="EU214" i="1"/>
  <c r="EG214" i="1"/>
  <c r="EI214" i="1"/>
  <c r="EM214" i="1" s="1"/>
  <c r="EU292" i="1"/>
  <c r="EG292" i="1"/>
  <c r="EI292" i="1"/>
  <c r="EM292" i="1" s="1"/>
  <c r="AZ15" i="1"/>
  <c r="R185" i="1"/>
  <c r="BA19" i="1"/>
  <c r="DZ184" i="1"/>
  <c r="CU185" i="1"/>
  <c r="CX248" i="1"/>
  <c r="CQ310" i="1"/>
  <c r="AJ13" i="1"/>
  <c r="Y89" i="1"/>
  <c r="Y310" i="1" s="1"/>
  <c r="CS271" i="1"/>
  <c r="AY264" i="1"/>
  <c r="CU263" i="1"/>
  <c r="AY299" i="1"/>
  <c r="DG213" i="1"/>
  <c r="BA144" i="1"/>
  <c r="X223" i="1" l="1"/>
  <c r="CS310" i="1"/>
  <c r="ED180" i="1"/>
  <c r="BE8" i="1"/>
  <c r="BE10" i="1" s="1"/>
  <c r="EH121" i="1"/>
  <c r="BN128" i="1"/>
  <c r="X262" i="1"/>
  <c r="EU61" i="1"/>
  <c r="BL152" i="1"/>
  <c r="BD18" i="1"/>
  <c r="CV185" i="1"/>
  <c r="BL18" i="1"/>
  <c r="BA196" i="1"/>
  <c r="AE135" i="1"/>
  <c r="BD196" i="1"/>
  <c r="BL234" i="1"/>
  <c r="BQ234" i="1" s="1"/>
  <c r="BU234" i="1" s="1"/>
  <c r="EH153" i="1"/>
  <c r="EV153" i="1"/>
  <c r="AG186" i="1"/>
  <c r="AG187" i="1" s="1"/>
  <c r="AC186" i="1"/>
  <c r="AI186" i="1"/>
  <c r="AI187" i="1" s="1"/>
  <c r="AU186" i="1"/>
  <c r="AU187" i="1" s="1"/>
  <c r="AD187" i="1"/>
  <c r="AC187" i="1" s="1"/>
  <c r="AM186" i="1"/>
  <c r="BD148" i="1"/>
  <c r="BL148" i="1"/>
  <c r="BQ148" i="1" s="1"/>
  <c r="BU148" i="1" s="1"/>
  <c r="BL129" i="1"/>
  <c r="BA129" i="1"/>
  <c r="BD129" i="1"/>
  <c r="DB167" i="1"/>
  <c r="CX168" i="1"/>
  <c r="DR132" i="1"/>
  <c r="BL133" i="1"/>
  <c r="BN133" i="1" s="1"/>
  <c r="EV245" i="1"/>
  <c r="EH154" i="1"/>
  <c r="BL229" i="1"/>
  <c r="BD229" i="1"/>
  <c r="EJ154" i="1"/>
  <c r="EN154" i="1" s="1"/>
  <c r="DA189" i="1"/>
  <c r="CW191" i="1"/>
  <c r="AH135" i="1"/>
  <c r="BD39" i="1"/>
  <c r="AJ185" i="1"/>
  <c r="CT310" i="1"/>
  <c r="DR291" i="1"/>
  <c r="DV291" i="1" s="1"/>
  <c r="BN175" i="1"/>
  <c r="EG180" i="1"/>
  <c r="EI180" i="1"/>
  <c r="EM180" i="1" s="1"/>
  <c r="EU180" i="1"/>
  <c r="X135" i="1"/>
  <c r="EH297" i="1"/>
  <c r="CW64" i="1"/>
  <c r="DJ237" i="1"/>
  <c r="DN237" i="1" s="1"/>
  <c r="DR237" i="1" s="1"/>
  <c r="DV237" i="1" s="1"/>
  <c r="DZ237" i="1" s="1"/>
  <c r="ED237" i="1" s="1"/>
  <c r="CW238" i="1"/>
  <c r="AH185" i="1"/>
  <c r="BQ175" i="1"/>
  <c r="BU175" i="1" s="1"/>
  <c r="EG297" i="1"/>
  <c r="AJ135" i="1"/>
  <c r="AJ310" i="1" s="1"/>
  <c r="EH214" i="1"/>
  <c r="EV214" i="1"/>
  <c r="EJ214" i="1"/>
  <c r="EN214" i="1" s="1"/>
  <c r="EH246" i="1"/>
  <c r="EJ246" i="1"/>
  <c r="EN246" i="1" s="1"/>
  <c r="EV246" i="1"/>
  <c r="DZ217" i="1"/>
  <c r="ED216" i="1"/>
  <c r="BD161" i="1"/>
  <c r="BL161" i="1"/>
  <c r="BQ161" i="1" s="1"/>
  <c r="BU161" i="1" s="1"/>
  <c r="BA169" i="1"/>
  <c r="BD169" i="1"/>
  <c r="BL169" i="1"/>
  <c r="DY8" i="1"/>
  <c r="DU10" i="1"/>
  <c r="BD170" i="1"/>
  <c r="BE2" i="1"/>
  <c r="BL170" i="1"/>
  <c r="BA170" i="1"/>
  <c r="BN44" i="1"/>
  <c r="EG246" i="1"/>
  <c r="EI246" i="1"/>
  <c r="EM246" i="1" s="1"/>
  <c r="EU246" i="1"/>
  <c r="DM37" i="1"/>
  <c r="DI39" i="1"/>
  <c r="DA233" i="1"/>
  <c r="CW235" i="1"/>
  <c r="AG99" i="1"/>
  <c r="AG101" i="1" s="1"/>
  <c r="AC99" i="1"/>
  <c r="AD101" i="1"/>
  <c r="AC101" i="1" s="1"/>
  <c r="AU99" i="1"/>
  <c r="AU101" i="1" s="1"/>
  <c r="AI99" i="1"/>
  <c r="AI101" i="1" s="1"/>
  <c r="AI135" i="1" s="1"/>
  <c r="AM99" i="1"/>
  <c r="DI71" i="1"/>
  <c r="DM70" i="1"/>
  <c r="AE185" i="1"/>
  <c r="EU94" i="1"/>
  <c r="EG94" i="1"/>
  <c r="EI94" i="1"/>
  <c r="EM94" i="1" s="1"/>
  <c r="EH292" i="1"/>
  <c r="EJ292" i="1"/>
  <c r="EN292" i="1" s="1"/>
  <c r="EV292" i="1"/>
  <c r="EG192" i="1"/>
  <c r="EV294" i="1"/>
  <c r="CW223" i="1"/>
  <c r="BL165" i="1"/>
  <c r="BN81" i="1"/>
  <c r="R310" i="1"/>
  <c r="EU192" i="1"/>
  <c r="AV135" i="1"/>
  <c r="BQ114" i="1"/>
  <c r="DH238" i="1"/>
  <c r="CU89" i="1"/>
  <c r="AV185" i="1"/>
  <c r="AV223" i="1"/>
  <c r="AQ194" i="1"/>
  <c r="AY194" i="1" s="1"/>
  <c r="DI109" i="1"/>
  <c r="DM109" i="1" s="1"/>
  <c r="DQ109" i="1" s="1"/>
  <c r="DU109" i="1" s="1"/>
  <c r="DY109" i="1" s="1"/>
  <c r="EC109" i="1" s="1"/>
  <c r="EU109" i="1" s="1"/>
  <c r="BN144" i="1"/>
  <c r="BN19" i="1"/>
  <c r="BO78" i="1"/>
  <c r="DY253" i="1"/>
  <c r="EC252" i="1"/>
  <c r="CX217" i="1"/>
  <c r="DB215" i="1"/>
  <c r="DN123" i="1"/>
  <c r="DJ125" i="1"/>
  <c r="DI237" i="1"/>
  <c r="DM237" i="1" s="1"/>
  <c r="DQ237" i="1" s="1"/>
  <c r="DU237" i="1" s="1"/>
  <c r="DY237" i="1" s="1"/>
  <c r="EC237" i="1" s="1"/>
  <c r="BA161" i="1"/>
  <c r="EU154" i="1"/>
  <c r="EG154" i="1"/>
  <c r="EI154" i="1"/>
  <c r="EM154" i="1" s="1"/>
  <c r="AG236" i="1"/>
  <c r="AG238" i="1" s="1"/>
  <c r="AU236" i="1"/>
  <c r="AU238" i="1" s="1"/>
  <c r="AM236" i="1"/>
  <c r="AI236" i="1"/>
  <c r="AI238" i="1" s="1"/>
  <c r="AC236" i="1"/>
  <c r="AD238" i="1"/>
  <c r="AC238" i="1" s="1"/>
  <c r="DG263" i="1"/>
  <c r="CW263" i="1"/>
  <c r="CU265" i="1"/>
  <c r="BA299" i="1"/>
  <c r="BL299" i="1"/>
  <c r="BD299" i="1"/>
  <c r="BM15" i="1"/>
  <c r="BE15" i="1"/>
  <c r="BA15" i="1"/>
  <c r="EJ180" i="1"/>
  <c r="EN180" i="1" s="1"/>
  <c r="EV180" i="1"/>
  <c r="EH180" i="1"/>
  <c r="AU222" i="1"/>
  <c r="AM222" i="1"/>
  <c r="AG222" i="1"/>
  <c r="AI222" i="1"/>
  <c r="AC222" i="1"/>
  <c r="BQ152" i="1"/>
  <c r="BU152" i="1" s="1"/>
  <c r="BN152" i="1"/>
  <c r="DR134" i="1"/>
  <c r="DV132" i="1"/>
  <c r="BR8" i="1"/>
  <c r="BR10" i="1" s="1"/>
  <c r="BM10" i="1"/>
  <c r="CW101" i="1"/>
  <c r="DA99" i="1"/>
  <c r="BQ133" i="1"/>
  <c r="DM13" i="1"/>
  <c r="DQ11" i="1"/>
  <c r="EC11" i="1"/>
  <c r="BE261" i="1"/>
  <c r="BM261" i="1"/>
  <c r="AU218" i="1"/>
  <c r="AU221" i="1" s="1"/>
  <c r="AM218" i="1"/>
  <c r="AI218" i="1"/>
  <c r="AI221" i="1" s="1"/>
  <c r="AC218" i="1"/>
  <c r="AG218" i="1"/>
  <c r="AG221" i="1" s="1"/>
  <c r="AD221" i="1"/>
  <c r="AC221" i="1" s="1"/>
  <c r="DJ59" i="1"/>
  <c r="DN57" i="1"/>
  <c r="BN153" i="1"/>
  <c r="BQ153" i="1"/>
  <c r="BU153" i="1" s="1"/>
  <c r="ED250" i="1"/>
  <c r="EV239" i="1"/>
  <c r="EH239" i="1"/>
  <c r="EJ239" i="1"/>
  <c r="EU218" i="1"/>
  <c r="EG218" i="1"/>
  <c r="EG221" i="1" s="1"/>
  <c r="EC221" i="1"/>
  <c r="EU221" i="1" s="1"/>
  <c r="EI218" i="1"/>
  <c r="AI210" i="1"/>
  <c r="AI213" i="1" s="1"/>
  <c r="AD213" i="1"/>
  <c r="AC213" i="1" s="1"/>
  <c r="AU210" i="1"/>
  <c r="AU213" i="1" s="1"/>
  <c r="AM210" i="1"/>
  <c r="AG210" i="1"/>
  <c r="AG213" i="1" s="1"/>
  <c r="AC210" i="1"/>
  <c r="BQ165" i="1"/>
  <c r="BU165" i="1" s="1"/>
  <c r="BN165" i="1"/>
  <c r="AI108" i="1"/>
  <c r="AI110" i="1" s="1"/>
  <c r="AD110" i="1"/>
  <c r="AC110" i="1" s="1"/>
  <c r="AU108" i="1"/>
  <c r="AU110" i="1" s="1"/>
  <c r="AM108" i="1"/>
  <c r="AG108" i="1"/>
  <c r="AG110" i="1" s="1"/>
  <c r="AC108" i="1"/>
  <c r="AI63" i="1"/>
  <c r="AI65" i="1" s="1"/>
  <c r="AD65" i="1"/>
  <c r="AC65" i="1" s="1"/>
  <c r="AU63" i="1"/>
  <c r="AU65" i="1" s="1"/>
  <c r="AM63" i="1"/>
  <c r="AG63" i="1"/>
  <c r="AG65" i="1" s="1"/>
  <c r="AC63" i="1"/>
  <c r="BM105" i="1"/>
  <c r="BE105" i="1"/>
  <c r="BE107" i="1" s="1"/>
  <c r="AZ107" i="1"/>
  <c r="BN200" i="1"/>
  <c r="BQ200" i="1"/>
  <c r="BU200" i="1" s="1"/>
  <c r="AZ68" i="1"/>
  <c r="BM66" i="1"/>
  <c r="BE66" i="1"/>
  <c r="CX174" i="1"/>
  <c r="DB171" i="1"/>
  <c r="EV172" i="1"/>
  <c r="EH172" i="1"/>
  <c r="EJ172" i="1"/>
  <c r="EN172" i="1" s="1"/>
  <c r="EG245" i="1"/>
  <c r="EI245" i="1"/>
  <c r="EM245" i="1" s="1"/>
  <c r="EU245" i="1"/>
  <c r="BM250" i="1"/>
  <c r="BR250" i="1" s="1"/>
  <c r="BE250" i="1"/>
  <c r="DN243" i="1"/>
  <c r="DJ248" i="1"/>
  <c r="EI172" i="1"/>
  <c r="EM172" i="1" s="1"/>
  <c r="EG172" i="1"/>
  <c r="EU172" i="1"/>
  <c r="BM41" i="1"/>
  <c r="BE41" i="1"/>
  <c r="BA41" i="1"/>
  <c r="EI153" i="1"/>
  <c r="EM153" i="1" s="1"/>
  <c r="EU153" i="1"/>
  <c r="EG153" i="1"/>
  <c r="ED126" i="1"/>
  <c r="DR126" i="1"/>
  <c r="DV126" i="1" s="1"/>
  <c r="EU294" i="1"/>
  <c r="EI294" i="1"/>
  <c r="EM294" i="1" s="1"/>
  <c r="EG294" i="1"/>
  <c r="DF212" i="1"/>
  <c r="DB213" i="1"/>
  <c r="EV66" i="1"/>
  <c r="EH66" i="1"/>
  <c r="EJ66" i="1"/>
  <c r="AN139" i="1"/>
  <c r="AR137" i="1"/>
  <c r="DJ82" i="1"/>
  <c r="DN80" i="1"/>
  <c r="AR75" i="1"/>
  <c r="AZ72" i="1"/>
  <c r="AR13" i="1"/>
  <c r="AZ11" i="1"/>
  <c r="DE171" i="1"/>
  <c r="DA174" i="1"/>
  <c r="DJ205" i="1"/>
  <c r="DN199" i="1"/>
  <c r="CW104" i="1"/>
  <c r="DA102" i="1"/>
  <c r="DJ52" i="1"/>
  <c r="DN50" i="1"/>
  <c r="BN42" i="1"/>
  <c r="BQ42" i="1"/>
  <c r="BU42" i="1" s="1"/>
  <c r="DF298" i="1"/>
  <c r="DB308" i="1"/>
  <c r="AM134" i="1"/>
  <c r="AQ132" i="1"/>
  <c r="EI137" i="1"/>
  <c r="EU137" i="1"/>
  <c r="EG137" i="1"/>
  <c r="AZ108" i="1"/>
  <c r="AR110" i="1"/>
  <c r="DA85" i="1"/>
  <c r="DE83" i="1"/>
  <c r="BQ35" i="1"/>
  <c r="DE299" i="1"/>
  <c r="DA308" i="1"/>
  <c r="DN222" i="1"/>
  <c r="EJ162" i="1"/>
  <c r="EV162" i="1"/>
  <c r="EH162" i="1"/>
  <c r="EH164" i="1" s="1"/>
  <c r="ED164" i="1"/>
  <c r="EV164" i="1" s="1"/>
  <c r="BN197" i="1"/>
  <c r="BQ197" i="1"/>
  <c r="BU197" i="1" s="1"/>
  <c r="BM186" i="1"/>
  <c r="BE186" i="1"/>
  <c r="BE187" i="1" s="1"/>
  <c r="AZ187" i="1"/>
  <c r="DE227" i="1"/>
  <c r="DA228" i="1"/>
  <c r="EJ291" i="1"/>
  <c r="EN291" i="1" s="1"/>
  <c r="EV291" i="1"/>
  <c r="EH291" i="1"/>
  <c r="DV309" i="1"/>
  <c r="BQ237" i="1"/>
  <c r="BU237" i="1" s="1"/>
  <c r="BN237" i="1"/>
  <c r="DE139" i="1"/>
  <c r="DI138" i="1"/>
  <c r="AZ17" i="1"/>
  <c r="AR24" i="1"/>
  <c r="AR26" i="1" s="1"/>
  <c r="BM30" i="1"/>
  <c r="BE30" i="1"/>
  <c r="BE33" i="1" s="1"/>
  <c r="AZ33" i="1"/>
  <c r="DG269" i="1"/>
  <c r="DG271" i="1" s="1"/>
  <c r="BM233" i="1"/>
  <c r="BE233" i="1"/>
  <c r="AZ235" i="1"/>
  <c r="EV193" i="1"/>
  <c r="EH193" i="1"/>
  <c r="EH195" i="1" s="1"/>
  <c r="ED195" i="1"/>
  <c r="EV195" i="1" s="1"/>
  <c r="EJ193" i="1"/>
  <c r="EV184" i="1"/>
  <c r="DI82" i="1"/>
  <c r="DM80" i="1"/>
  <c r="EV8" i="1"/>
  <c r="EH8" i="1"/>
  <c r="EH10" i="1" s="1"/>
  <c r="ED10" i="1"/>
  <c r="EV10" i="1" s="1"/>
  <c r="EJ8" i="1"/>
  <c r="AQ266" i="1"/>
  <c r="DF252" i="1"/>
  <c r="DB253" i="1"/>
  <c r="BE208" i="1"/>
  <c r="BE209" i="1" s="1"/>
  <c r="BM208" i="1"/>
  <c r="BN208" i="1" s="1"/>
  <c r="AZ209" i="1"/>
  <c r="EM177" i="1"/>
  <c r="DQ239" i="1"/>
  <c r="EI295" i="1"/>
  <c r="EM295" i="1" s="1"/>
  <c r="EU295" i="1"/>
  <c r="EG295" i="1"/>
  <c r="BA138" i="1"/>
  <c r="BL138" i="1"/>
  <c r="BD138" i="1"/>
  <c r="BD70" i="1"/>
  <c r="BL70" i="1"/>
  <c r="BA70" i="1"/>
  <c r="EV259" i="1"/>
  <c r="EH259" i="1"/>
  <c r="EJ259" i="1"/>
  <c r="EN259" i="1" s="1"/>
  <c r="EI151" i="1"/>
  <c r="EM151" i="1" s="1"/>
  <c r="EU151" i="1"/>
  <c r="EG151" i="1"/>
  <c r="EV148" i="1"/>
  <c r="EH148" i="1"/>
  <c r="EJ148" i="1"/>
  <c r="EN148" i="1" s="1"/>
  <c r="DV88" i="1"/>
  <c r="DA160" i="1"/>
  <c r="DE159" i="1"/>
  <c r="AI188" i="1"/>
  <c r="AI191" i="1" s="1"/>
  <c r="AD191" i="1"/>
  <c r="AC191" i="1" s="1"/>
  <c r="AU188" i="1"/>
  <c r="AU191" i="1" s="1"/>
  <c r="AM188" i="1"/>
  <c r="AG188" i="1"/>
  <c r="AG191" i="1" s="1"/>
  <c r="AC188" i="1"/>
  <c r="AI69" i="1"/>
  <c r="AI71" i="1" s="1"/>
  <c r="AD71" i="1"/>
  <c r="AC71" i="1" s="1"/>
  <c r="AU69" i="1"/>
  <c r="AU71" i="1" s="1"/>
  <c r="AM69" i="1"/>
  <c r="AG69" i="1"/>
  <c r="AG71" i="1" s="1"/>
  <c r="AC69" i="1"/>
  <c r="DE255" i="1"/>
  <c r="DA256" i="1"/>
  <c r="AI17" i="1"/>
  <c r="AI24" i="1" s="1"/>
  <c r="AI26" i="1" s="1"/>
  <c r="AD24" i="1"/>
  <c r="AU17" i="1"/>
  <c r="AU24" i="1" s="1"/>
  <c r="AU26" i="1" s="1"/>
  <c r="AM17" i="1"/>
  <c r="AG17" i="1"/>
  <c r="AG24" i="1" s="1"/>
  <c r="AG26" i="1" s="1"/>
  <c r="AC17" i="1"/>
  <c r="AD33" i="1"/>
  <c r="AI30" i="1"/>
  <c r="AI33" i="1" s="1"/>
  <c r="AU30" i="1"/>
  <c r="AU33" i="1" s="1"/>
  <c r="AM30" i="1"/>
  <c r="AG30" i="1"/>
  <c r="AG33" i="1" s="1"/>
  <c r="EU190" i="1"/>
  <c r="EG190" i="1"/>
  <c r="EI190" i="1"/>
  <c r="EM190" i="1" s="1"/>
  <c r="BN158" i="1"/>
  <c r="BQ158" i="1"/>
  <c r="DA238" i="1"/>
  <c r="DE236" i="1"/>
  <c r="DF159" i="1"/>
  <c r="DB160" i="1"/>
  <c r="DR179" i="1"/>
  <c r="DV177" i="1"/>
  <c r="DV179" i="1" s="1"/>
  <c r="DU166" i="1"/>
  <c r="DF120" i="1"/>
  <c r="DB122" i="1"/>
  <c r="BN250" i="1"/>
  <c r="BQ250" i="1"/>
  <c r="BN6" i="1"/>
  <c r="BQ6" i="1"/>
  <c r="EJ176" i="1"/>
  <c r="EN176" i="1" s="1"/>
  <c r="EV176" i="1"/>
  <c r="EH176" i="1"/>
  <c r="AI120" i="1"/>
  <c r="AI122" i="1" s="1"/>
  <c r="AU120" i="1"/>
  <c r="AU122" i="1" s="1"/>
  <c r="AM120" i="1"/>
  <c r="AG120" i="1"/>
  <c r="AG122" i="1" s="1"/>
  <c r="AC120" i="1"/>
  <c r="AD122" i="1"/>
  <c r="AC122" i="1" s="1"/>
  <c r="AU50" i="1"/>
  <c r="AU52" i="1" s="1"/>
  <c r="AM50" i="1"/>
  <c r="AG50" i="1"/>
  <c r="AG52" i="1" s="1"/>
  <c r="AC50" i="1"/>
  <c r="AD52" i="1"/>
  <c r="AC52" i="1" s="1"/>
  <c r="AI50" i="1"/>
  <c r="AI52" i="1" s="1"/>
  <c r="AZ290" i="1"/>
  <c r="BM289" i="1"/>
  <c r="BE289" i="1"/>
  <c r="BE290" i="1" s="1"/>
  <c r="DM224" i="1"/>
  <c r="DI225" i="1"/>
  <c r="DM181" i="1"/>
  <c r="BN141" i="1"/>
  <c r="BQ141" i="1"/>
  <c r="BU141" i="1" s="1"/>
  <c r="DM24" i="1"/>
  <c r="DM26" i="1" s="1"/>
  <c r="EC17" i="1"/>
  <c r="DQ17" i="1"/>
  <c r="BN58" i="1"/>
  <c r="AJ89" i="1"/>
  <c r="AE89" i="1"/>
  <c r="AE310" i="1" s="1"/>
  <c r="AR43" i="1"/>
  <c r="DG185" i="1"/>
  <c r="BN231" i="1"/>
  <c r="BN106" i="1"/>
  <c r="BN109" i="1"/>
  <c r="BN293" i="1"/>
  <c r="BN118" i="1"/>
  <c r="BU43" i="1"/>
  <c r="CU135" i="1"/>
  <c r="AG195" i="1"/>
  <c r="BM76" i="1"/>
  <c r="BE76" i="1"/>
  <c r="BE79" i="1" s="1"/>
  <c r="AZ79" i="1"/>
  <c r="BN298" i="1"/>
  <c r="BQ298" i="1"/>
  <c r="BU298" i="1" s="1"/>
  <c r="BN227" i="1"/>
  <c r="BQ227" i="1"/>
  <c r="BU227" i="1" s="1"/>
  <c r="BU228" i="1" s="1"/>
  <c r="DG101" i="1"/>
  <c r="BQ176" i="1"/>
  <c r="BU176" i="1" s="1"/>
  <c r="BN176" i="1"/>
  <c r="AZ132" i="1"/>
  <c r="AR134" i="1"/>
  <c r="DI75" i="1"/>
  <c r="DM72" i="1"/>
  <c r="AZ63" i="1"/>
  <c r="AR65" i="1"/>
  <c r="BQ201" i="1"/>
  <c r="BU201" i="1" s="1"/>
  <c r="BN201" i="1"/>
  <c r="EJ258" i="1"/>
  <c r="EN258" i="1" s="1"/>
  <c r="EH258" i="1"/>
  <c r="EV258" i="1"/>
  <c r="DH187" i="1"/>
  <c r="DJ186" i="1"/>
  <c r="AI207" i="1"/>
  <c r="AI209" i="1" s="1"/>
  <c r="AC207" i="1"/>
  <c r="AU207" i="1"/>
  <c r="AU209" i="1" s="1"/>
  <c r="AM207" i="1"/>
  <c r="AD209" i="1"/>
  <c r="AC209" i="1" s="1"/>
  <c r="AG207" i="1"/>
  <c r="AG209" i="1" s="1"/>
  <c r="EN53" i="1"/>
  <c r="BL242" i="1"/>
  <c r="BD242" i="1"/>
  <c r="BA242" i="1"/>
  <c r="BA243" i="1"/>
  <c r="BL243" i="1"/>
  <c r="BD243" i="1"/>
  <c r="EV152" i="1"/>
  <c r="EH152" i="1"/>
  <c r="EJ152" i="1"/>
  <c r="EN152" i="1" s="1"/>
  <c r="BA124" i="1"/>
  <c r="BL124" i="1"/>
  <c r="BD124" i="1"/>
  <c r="EI173" i="1"/>
  <c r="EM173" i="1" s="1"/>
  <c r="EU173" i="1"/>
  <c r="EG173" i="1"/>
  <c r="DQ121" i="1"/>
  <c r="DU121" i="1" s="1"/>
  <c r="EC121" i="1"/>
  <c r="DV226" i="1"/>
  <c r="AI159" i="1"/>
  <c r="AI160" i="1" s="1"/>
  <c r="AU159" i="1"/>
  <c r="AU160" i="1" s="1"/>
  <c r="AM159" i="1"/>
  <c r="AG159" i="1"/>
  <c r="AG160" i="1" s="1"/>
  <c r="AC159" i="1"/>
  <c r="AD160" i="1"/>
  <c r="AC160" i="1" s="1"/>
  <c r="DF99" i="1"/>
  <c r="DB101" i="1"/>
  <c r="AM59" i="1"/>
  <c r="AQ57" i="1"/>
  <c r="BN270" i="1"/>
  <c r="BQ270" i="1"/>
  <c r="BU270" i="1" s="1"/>
  <c r="BN151" i="1"/>
  <c r="BQ151" i="1"/>
  <c r="BU151" i="1" s="1"/>
  <c r="CW71" i="1"/>
  <c r="DA69" i="1"/>
  <c r="BN18" i="1"/>
  <c r="BQ18" i="1"/>
  <c r="BU18" i="1" s="1"/>
  <c r="BU307" i="1"/>
  <c r="DN69" i="1"/>
  <c r="DG104" i="1"/>
  <c r="BN247" i="1"/>
  <c r="BQ247" i="1"/>
  <c r="BU247" i="1" s="1"/>
  <c r="BN180" i="1"/>
  <c r="BQ180" i="1"/>
  <c r="BU180" i="1" s="1"/>
  <c r="BN178" i="1"/>
  <c r="BQ178" i="1"/>
  <c r="BU178" i="1" s="1"/>
  <c r="CW62" i="1"/>
  <c r="DA60" i="1"/>
  <c r="AU249" i="1"/>
  <c r="AU253" i="1" s="1"/>
  <c r="AM249" i="1"/>
  <c r="AG249" i="1"/>
  <c r="AG253" i="1" s="1"/>
  <c r="AD253" i="1"/>
  <c r="AC253" i="1" s="1"/>
  <c r="AI249" i="1"/>
  <c r="AI253" i="1" s="1"/>
  <c r="AC249" i="1"/>
  <c r="EU254" i="1"/>
  <c r="EI254" i="1"/>
  <c r="EG254" i="1"/>
  <c r="DE260" i="1"/>
  <c r="DI257" i="1"/>
  <c r="EJ211" i="1"/>
  <c r="EN211" i="1" s="1"/>
  <c r="EV211" i="1"/>
  <c r="EH211" i="1"/>
  <c r="EM193" i="1"/>
  <c r="AZ43" i="1"/>
  <c r="BM40" i="1"/>
  <c r="BE40" i="1"/>
  <c r="BE43" i="1" s="1"/>
  <c r="DH89" i="1"/>
  <c r="BN28" i="1"/>
  <c r="BQ28" i="1"/>
  <c r="DR269" i="1"/>
  <c r="DV267" i="1"/>
  <c r="EU188" i="1"/>
  <c r="EG188" i="1"/>
  <c r="EI188" i="1"/>
  <c r="BA194" i="1"/>
  <c r="BD194" i="1"/>
  <c r="BL194" i="1"/>
  <c r="DE105" i="1"/>
  <c r="DA107" i="1"/>
  <c r="DR164" i="1"/>
  <c r="DV162" i="1"/>
  <c r="DV164" i="1" s="1"/>
  <c r="EI109" i="1"/>
  <c r="EM109" i="1" s="1"/>
  <c r="EG109" i="1"/>
  <c r="EJ91" i="1"/>
  <c r="ED93" i="1"/>
  <c r="EV93" i="1" s="1"/>
  <c r="EH91" i="1"/>
  <c r="EH93" i="1" s="1"/>
  <c r="EV91" i="1"/>
  <c r="BM234" i="1"/>
  <c r="BE234" i="1"/>
  <c r="BA234" i="1"/>
  <c r="BA130" i="1"/>
  <c r="BL130" i="1"/>
  <c r="BD130" i="1"/>
  <c r="DE118" i="1"/>
  <c r="DA286" i="1"/>
  <c r="DA288" i="1" s="1"/>
  <c r="DE272" i="1"/>
  <c r="DB286" i="1"/>
  <c r="DB288" i="1" s="1"/>
  <c r="DN272" i="1"/>
  <c r="DF272" i="1"/>
  <c r="DF286" i="1" s="1"/>
  <c r="DF288" i="1" s="1"/>
  <c r="DE186" i="1"/>
  <c r="DA187" i="1"/>
  <c r="BM199" i="1"/>
  <c r="BE199" i="1"/>
  <c r="BE205" i="1" s="1"/>
  <c r="AZ205" i="1"/>
  <c r="AM142" i="1"/>
  <c r="AQ140" i="1"/>
  <c r="AR93" i="1"/>
  <c r="AZ91" i="1"/>
  <c r="AR52" i="1"/>
  <c r="AZ50" i="1"/>
  <c r="BN301" i="1"/>
  <c r="BQ301" i="1"/>
  <c r="BQ112" i="1"/>
  <c r="BN112" i="1"/>
  <c r="BQ21" i="1"/>
  <c r="BU21" i="1" s="1"/>
  <c r="BN21" i="1"/>
  <c r="BN54" i="1"/>
  <c r="BQ54" i="1"/>
  <c r="BU54" i="1" s="1"/>
  <c r="AN240" i="1"/>
  <c r="AR239" i="1"/>
  <c r="DI249" i="1"/>
  <c r="BL225" i="1"/>
  <c r="BN224" i="1"/>
  <c r="BN225" i="1" s="1"/>
  <c r="BQ224" i="1"/>
  <c r="BN196" i="1"/>
  <c r="BQ196" i="1"/>
  <c r="AD174" i="1"/>
  <c r="AC174" i="1" s="1"/>
  <c r="AI171" i="1"/>
  <c r="AI174" i="1" s="1"/>
  <c r="AU171" i="1"/>
  <c r="AU174" i="1" s="1"/>
  <c r="AC171" i="1"/>
  <c r="AG171" i="1"/>
  <c r="AG174" i="1" s="1"/>
  <c r="AM171" i="1"/>
  <c r="AQ105" i="1"/>
  <c r="AM107" i="1"/>
  <c r="AM36" i="1"/>
  <c r="AQ34" i="1"/>
  <c r="EU53" i="1"/>
  <c r="EG53" i="1"/>
  <c r="EI53" i="1"/>
  <c r="AM10" i="1"/>
  <c r="AQ8" i="1"/>
  <c r="AB8" i="1"/>
  <c r="Z10" i="1"/>
  <c r="AB5" i="1"/>
  <c r="Z7" i="1"/>
  <c r="BN244" i="1"/>
  <c r="BQ244" i="1"/>
  <c r="BU244" i="1" s="1"/>
  <c r="BQ154" i="1"/>
  <c r="BU154" i="1" s="1"/>
  <c r="BN154" i="1"/>
  <c r="AI263" i="1"/>
  <c r="AI265" i="1" s="1"/>
  <c r="AD265" i="1"/>
  <c r="AC265" i="1" s="1"/>
  <c r="AM263" i="1"/>
  <c r="AU263" i="1"/>
  <c r="AU265" i="1" s="1"/>
  <c r="AG263" i="1"/>
  <c r="AG265" i="1" s="1"/>
  <c r="AC263" i="1"/>
  <c r="DE147" i="1"/>
  <c r="DA156" i="1"/>
  <c r="AR241" i="1"/>
  <c r="AN248" i="1"/>
  <c r="AN262" i="1" s="1"/>
  <c r="EJ184" i="1"/>
  <c r="EN181" i="1"/>
  <c r="EN184" i="1" s="1"/>
  <c r="DR138" i="1"/>
  <c r="DN139" i="1"/>
  <c r="BA87" i="1"/>
  <c r="BL87" i="1"/>
  <c r="BD87" i="1"/>
  <c r="DR10" i="1"/>
  <c r="DV8" i="1"/>
  <c r="DV10" i="1" s="1"/>
  <c r="AZ228" i="1"/>
  <c r="BM226" i="1"/>
  <c r="BE226" i="1"/>
  <c r="BE228" i="1" s="1"/>
  <c r="AM168" i="1"/>
  <c r="AQ166" i="1"/>
  <c r="AR191" i="1"/>
  <c r="AZ188" i="1"/>
  <c r="EG47" i="1"/>
  <c r="EI47" i="1"/>
  <c r="EM47" i="1" s="1"/>
  <c r="EU47" i="1"/>
  <c r="BL255" i="1"/>
  <c r="BD255" i="1"/>
  <c r="BA255" i="1"/>
  <c r="DH105" i="1"/>
  <c r="CV107" i="1"/>
  <c r="CV135" i="1" s="1"/>
  <c r="CX105" i="1"/>
  <c r="EI149" i="1"/>
  <c r="EM149" i="1" s="1"/>
  <c r="EU149" i="1"/>
  <c r="EG149" i="1"/>
  <c r="BL202" i="1"/>
  <c r="BD202" i="1"/>
  <c r="BA202" i="1"/>
  <c r="BA157" i="1"/>
  <c r="BL157" i="1"/>
  <c r="BD157" i="1"/>
  <c r="BL295" i="1"/>
  <c r="BD295" i="1"/>
  <c r="BA295" i="1"/>
  <c r="EJ155" i="1"/>
  <c r="EN155" i="1" s="1"/>
  <c r="EV155" i="1"/>
  <c r="EH155" i="1"/>
  <c r="EI84" i="1"/>
  <c r="EM84" i="1" s="1"/>
  <c r="EU84" i="1"/>
  <c r="EG84" i="1"/>
  <c r="AU239" i="1"/>
  <c r="AU240" i="1" s="1"/>
  <c r="AM239" i="1"/>
  <c r="AG239" i="1"/>
  <c r="AG240" i="1" s="1"/>
  <c r="AC239" i="1"/>
  <c r="AI239" i="1"/>
  <c r="AI240" i="1" s="1"/>
  <c r="AD240" i="1"/>
  <c r="AC240" i="1" s="1"/>
  <c r="AR166" i="1"/>
  <c r="AN168" i="1"/>
  <c r="EJ300" i="1"/>
  <c r="EN300" i="1" s="1"/>
  <c r="EV300" i="1"/>
  <c r="EH300" i="1"/>
  <c r="DB227" i="1"/>
  <c r="CX228" i="1"/>
  <c r="DQ123" i="1"/>
  <c r="DM125" i="1"/>
  <c r="DB238" i="1"/>
  <c r="DF236" i="1"/>
  <c r="BM87" i="1"/>
  <c r="BE87" i="1"/>
  <c r="BN300" i="1"/>
  <c r="BQ300" i="1"/>
  <c r="BN214" i="1"/>
  <c r="BQ214" i="1"/>
  <c r="BN119" i="1"/>
  <c r="BQ119" i="1"/>
  <c r="BU119" i="1" s="1"/>
  <c r="AR253" i="1"/>
  <c r="AZ249" i="1"/>
  <c r="DE242" i="1"/>
  <c r="DA248" i="1"/>
  <c r="AN160" i="1"/>
  <c r="AR159" i="1"/>
  <c r="ED179" i="1"/>
  <c r="EV179" i="1" s="1"/>
  <c r="EV177" i="1"/>
  <c r="EH177" i="1"/>
  <c r="EH179" i="1" s="1"/>
  <c r="EJ177" i="1"/>
  <c r="EI178" i="1"/>
  <c r="EM178" i="1" s="1"/>
  <c r="EU178" i="1"/>
  <c r="EG178" i="1"/>
  <c r="EG179" i="1" s="1"/>
  <c r="DM43" i="1"/>
  <c r="DQ40" i="1"/>
  <c r="AI267" i="1"/>
  <c r="AI269" i="1" s="1"/>
  <c r="AI271" i="1" s="1"/>
  <c r="AU267" i="1"/>
  <c r="AU269" i="1" s="1"/>
  <c r="AG267" i="1"/>
  <c r="AG269" i="1" s="1"/>
  <c r="AM267" i="1"/>
  <c r="AD269" i="1"/>
  <c r="AC267" i="1"/>
  <c r="AN221" i="1"/>
  <c r="AN223" i="1" s="1"/>
  <c r="AR218" i="1"/>
  <c r="CX156" i="1"/>
  <c r="DB147" i="1"/>
  <c r="DM79" i="1"/>
  <c r="DQ76" i="1"/>
  <c r="DB220" i="1"/>
  <c r="CX221" i="1"/>
  <c r="BO79" i="1"/>
  <c r="BO89" i="1" s="1"/>
  <c r="BO310" i="1" s="1"/>
  <c r="BS78" i="1"/>
  <c r="CW122" i="1"/>
  <c r="DA120" i="1"/>
  <c r="AY96" i="1"/>
  <c r="AQ98" i="1"/>
  <c r="BQ126" i="1"/>
  <c r="BN126" i="1"/>
  <c r="BN23" i="1"/>
  <c r="BQ23" i="1"/>
  <c r="BU23" i="1" s="1"/>
  <c r="X89" i="1"/>
  <c r="AV89" i="1"/>
  <c r="CW110" i="1"/>
  <c r="BN22" i="1"/>
  <c r="BN292" i="1"/>
  <c r="EW310" i="1"/>
  <c r="EH29" i="1"/>
  <c r="BA264" i="1"/>
  <c r="BL264" i="1"/>
  <c r="BD264" i="1"/>
  <c r="DI290" i="1"/>
  <c r="DM289" i="1"/>
  <c r="AU72" i="1"/>
  <c r="AU75" i="1" s="1"/>
  <c r="AM72" i="1"/>
  <c r="AG72" i="1"/>
  <c r="AG75" i="1" s="1"/>
  <c r="AC72" i="1"/>
  <c r="AD75" i="1"/>
  <c r="AC75" i="1" s="1"/>
  <c r="AI72" i="1"/>
  <c r="AI75" i="1" s="1"/>
  <c r="AM139" i="1"/>
  <c r="AQ137" i="1"/>
  <c r="AQ68" i="1"/>
  <c r="AY66" i="1"/>
  <c r="AI115" i="1"/>
  <c r="AI117" i="1" s="1"/>
  <c r="AD117" i="1"/>
  <c r="AC117" i="1" s="1"/>
  <c r="AM115" i="1"/>
  <c r="AU115" i="1"/>
  <c r="AU117" i="1" s="1"/>
  <c r="AU135" i="1" s="1"/>
  <c r="AC115" i="1"/>
  <c r="AG115" i="1"/>
  <c r="AG117" i="1" s="1"/>
  <c r="AI80" i="1"/>
  <c r="AI82" i="1" s="1"/>
  <c r="AD82" i="1"/>
  <c r="AU80" i="1"/>
  <c r="AU82" i="1" s="1"/>
  <c r="AM80" i="1"/>
  <c r="AG80" i="1"/>
  <c r="AG82" i="1" s="1"/>
  <c r="AC80" i="1"/>
  <c r="DF70" i="1"/>
  <c r="DB71" i="1"/>
  <c r="AQ85" i="1"/>
  <c r="AY83" i="1"/>
  <c r="DQ52" i="1"/>
  <c r="DU50" i="1"/>
  <c r="DM117" i="1"/>
  <c r="DQ115" i="1"/>
  <c r="DA217" i="1"/>
  <c r="DE215" i="1"/>
  <c r="DU226" i="1"/>
  <c r="DQ221" i="1"/>
  <c r="DU218" i="1"/>
  <c r="DU221" i="1" s="1"/>
  <c r="AN122" i="1"/>
  <c r="AR120" i="1"/>
  <c r="EU194" i="1"/>
  <c r="EG194" i="1"/>
  <c r="EG195" i="1" s="1"/>
  <c r="EI194" i="1"/>
  <c r="EM194" i="1" s="1"/>
  <c r="EJ143" i="1"/>
  <c r="EV143" i="1"/>
  <c r="EH143" i="1"/>
  <c r="EH146" i="1" s="1"/>
  <c r="ED146" i="1"/>
  <c r="EV146" i="1" s="1"/>
  <c r="EN111" i="1"/>
  <c r="DQ133" i="1"/>
  <c r="DM134" i="1"/>
  <c r="DI146" i="1"/>
  <c r="DM143" i="1"/>
  <c r="AR82" i="1"/>
  <c r="AZ80" i="1"/>
  <c r="AU11" i="1"/>
  <c r="AU13" i="1" s="1"/>
  <c r="AM11" i="1"/>
  <c r="AG11" i="1"/>
  <c r="AG13" i="1" s="1"/>
  <c r="AC11" i="1"/>
  <c r="AD13" i="1"/>
  <c r="AC13" i="1" s="1"/>
  <c r="AI11" i="1"/>
  <c r="AI13" i="1" s="1"/>
  <c r="DA209" i="1"/>
  <c r="DE207" i="1"/>
  <c r="DE209" i="1" s="1"/>
  <c r="DM207" i="1"/>
  <c r="BQ259" i="1"/>
  <c r="BU259" i="1" s="1"/>
  <c r="BN259" i="1"/>
  <c r="DN62" i="1"/>
  <c r="DR60" i="1"/>
  <c r="DI33" i="1"/>
  <c r="DM30" i="1"/>
  <c r="DH174" i="1"/>
  <c r="EJ296" i="1"/>
  <c r="EN296" i="1" s="1"/>
  <c r="EH296" i="1"/>
  <c r="EV296" i="1"/>
  <c r="EJ231" i="1"/>
  <c r="EN231" i="1" s="1"/>
  <c r="EH231" i="1"/>
  <c r="EV231" i="1"/>
  <c r="DR158" i="1"/>
  <c r="DV158" i="1" s="1"/>
  <c r="ED158" i="1"/>
  <c r="EU216" i="1"/>
  <c r="EG216" i="1"/>
  <c r="EI216" i="1"/>
  <c r="EM216" i="1" s="1"/>
  <c r="BL131" i="1"/>
  <c r="BD131" i="1"/>
  <c r="BA131" i="1"/>
  <c r="BA172" i="1"/>
  <c r="BL172" i="1"/>
  <c r="BD172" i="1"/>
  <c r="BA94" i="1"/>
  <c r="BL94" i="1"/>
  <c r="BD94" i="1"/>
  <c r="DU241" i="1"/>
  <c r="DE67" i="1"/>
  <c r="DA68" i="1"/>
  <c r="DV66" i="1"/>
  <c r="DQ307" i="1"/>
  <c r="DB209" i="1"/>
  <c r="DF207" i="1"/>
  <c r="EJ165" i="1"/>
  <c r="EN165" i="1" s="1"/>
  <c r="EV165" i="1"/>
  <c r="EH165" i="1"/>
  <c r="AN85" i="1"/>
  <c r="AR83" i="1"/>
  <c r="DJ16" i="1"/>
  <c r="DN14" i="1"/>
  <c r="AU60" i="1"/>
  <c r="AU62" i="1" s="1"/>
  <c r="AM60" i="1"/>
  <c r="AG60" i="1"/>
  <c r="AG62" i="1" s="1"/>
  <c r="AC60" i="1"/>
  <c r="AD62" i="1"/>
  <c r="AI60" i="1"/>
  <c r="AI62" i="1" s="1"/>
  <c r="DN5" i="1"/>
  <c r="DJ7" i="1"/>
  <c r="BN296" i="1"/>
  <c r="BQ296" i="1"/>
  <c r="BN219" i="1"/>
  <c r="BQ219" i="1"/>
  <c r="BU219" i="1" s="1"/>
  <c r="BP225" i="1"/>
  <c r="BT224" i="1"/>
  <c r="BT225" i="1" s="1"/>
  <c r="DR225" i="1"/>
  <c r="DV224" i="1"/>
  <c r="DB191" i="1"/>
  <c r="DF189" i="1"/>
  <c r="DE182" i="1"/>
  <c r="DA184" i="1"/>
  <c r="AN179" i="1"/>
  <c r="AR177" i="1"/>
  <c r="AR113" i="1"/>
  <c r="AZ111" i="1"/>
  <c r="DQ98" i="1"/>
  <c r="DU96" i="1"/>
  <c r="DB85" i="1"/>
  <c r="DF83" i="1"/>
  <c r="DJ13" i="1"/>
  <c r="DN11" i="1"/>
  <c r="BM34" i="1"/>
  <c r="BE34" i="1"/>
  <c r="AZ36" i="1"/>
  <c r="AZ59" i="1"/>
  <c r="BM57" i="1"/>
  <c r="BE57" i="1"/>
  <c r="BE59" i="1" s="1"/>
  <c r="BP78" i="1"/>
  <c r="BR78" i="1" s="1"/>
  <c r="AM205" i="1"/>
  <c r="AQ199" i="1"/>
  <c r="AC134" i="1"/>
  <c r="BR25" i="1"/>
  <c r="BV25" i="1" s="1"/>
  <c r="BN25" i="1"/>
  <c r="AZ147" i="1"/>
  <c r="AR156" i="1"/>
  <c r="DR93" i="1"/>
  <c r="DV91" i="1"/>
  <c r="DV93" i="1" s="1"/>
  <c r="DJ33" i="1"/>
  <c r="DN30" i="1"/>
  <c r="BM35" i="1"/>
  <c r="BR35" i="1" s="1"/>
  <c r="BV35" i="1" s="1"/>
  <c r="BV36" i="1" s="1"/>
  <c r="BE35" i="1"/>
  <c r="AZ210" i="1"/>
  <c r="AR213" i="1"/>
  <c r="DQ205" i="1"/>
  <c r="DU199" i="1"/>
  <c r="AR184" i="1"/>
  <c r="AZ181" i="1"/>
  <c r="DA110" i="1"/>
  <c r="DE108" i="1"/>
  <c r="BL39" i="1"/>
  <c r="BQ37" i="1"/>
  <c r="AZ7" i="1"/>
  <c r="BM5" i="1"/>
  <c r="BE5" i="1"/>
  <c r="BE7" i="1" s="1"/>
  <c r="BQ251" i="1"/>
  <c r="BU251" i="1" s="1"/>
  <c r="BU253" i="1" s="1"/>
  <c r="BN251" i="1"/>
  <c r="BN116" i="1"/>
  <c r="BQ116" i="1"/>
  <c r="BQ86" i="1"/>
  <c r="BN86" i="1"/>
  <c r="BQ286" i="1"/>
  <c r="BQ288" i="1" s="1"/>
  <c r="BU272" i="1"/>
  <c r="BU286" i="1" s="1"/>
  <c r="BU288" i="1" s="1"/>
  <c r="AR260" i="1"/>
  <c r="AZ257" i="1"/>
  <c r="DN210" i="1"/>
  <c r="AU53" i="1"/>
  <c r="AU56" i="1" s="1"/>
  <c r="AM53" i="1"/>
  <c r="AG53" i="1"/>
  <c r="AG56" i="1" s="1"/>
  <c r="AC53" i="1"/>
  <c r="AC56" i="1" s="1"/>
  <c r="AD56" i="1"/>
  <c r="AI53" i="1"/>
  <c r="AI56" i="1" s="1"/>
  <c r="AQ5" i="1"/>
  <c r="AM7" i="1"/>
  <c r="DE59" i="1"/>
  <c r="DI57" i="1"/>
  <c r="AI289" i="1"/>
  <c r="AI290" i="1" s="1"/>
  <c r="AD290" i="1"/>
  <c r="AC290" i="1" s="1"/>
  <c r="AU289" i="1"/>
  <c r="AU290" i="1" s="1"/>
  <c r="AM289" i="1"/>
  <c r="AG289" i="1"/>
  <c r="AG290" i="1" s="1"/>
  <c r="AC289" i="1"/>
  <c r="DF102" i="1"/>
  <c r="DB104" i="1"/>
  <c r="DQ88" i="1"/>
  <c r="DF56" i="1"/>
  <c r="DJ54" i="1"/>
  <c r="BU309" i="1"/>
  <c r="AR146" i="1"/>
  <c r="AZ143" i="1"/>
  <c r="DF63" i="1"/>
  <c r="DB65" i="1"/>
  <c r="BN245" i="1"/>
  <c r="BQ245" i="1"/>
  <c r="BU245" i="1" s="1"/>
  <c r="BN182" i="1"/>
  <c r="BQ182" i="1"/>
  <c r="EV84" i="1"/>
  <c r="EH84" i="1"/>
  <c r="EJ84" i="1"/>
  <c r="EN84" i="1" s="1"/>
  <c r="BD258" i="1"/>
  <c r="BL258" i="1"/>
  <c r="BA258" i="1"/>
  <c r="BA150" i="1"/>
  <c r="BL150" i="1"/>
  <c r="BD150" i="1"/>
  <c r="BA100" i="1"/>
  <c r="BL100" i="1"/>
  <c r="BD100" i="1"/>
  <c r="BL232" i="1"/>
  <c r="BD232" i="1"/>
  <c r="BA232" i="1"/>
  <c r="BA203" i="1"/>
  <c r="BL203" i="1"/>
  <c r="BD203" i="1"/>
  <c r="EV106" i="1"/>
  <c r="EH106" i="1"/>
  <c r="EJ106" i="1"/>
  <c r="EN106" i="1" s="1"/>
  <c r="BM67" i="1"/>
  <c r="BE67" i="1"/>
  <c r="BA67" i="1"/>
  <c r="DG250" i="1"/>
  <c r="CW250" i="1"/>
  <c r="CU253" i="1"/>
  <c r="CU262" i="1" s="1"/>
  <c r="EJ94" i="1"/>
  <c r="EN94" i="1" s="1"/>
  <c r="EV94" i="1"/>
  <c r="EH94" i="1"/>
  <c r="EJ112" i="1"/>
  <c r="EN112" i="1" s="1"/>
  <c r="EV112" i="1"/>
  <c r="EH112" i="1"/>
  <c r="EH113" i="1" s="1"/>
  <c r="AU302" i="1"/>
  <c r="AU308" i="1" s="1"/>
  <c r="AI302" i="1"/>
  <c r="AI308" i="1" s="1"/>
  <c r="AD308" i="1"/>
  <c r="AM302" i="1"/>
  <c r="AG302" i="1"/>
  <c r="AG308" i="1" s="1"/>
  <c r="AC302" i="1"/>
  <c r="AZ263" i="1"/>
  <c r="AR265" i="1"/>
  <c r="DE167" i="1"/>
  <c r="DA168" i="1"/>
  <c r="AI102" i="1"/>
  <c r="AI104" i="1" s="1"/>
  <c r="AU102" i="1"/>
  <c r="AU104" i="1" s="1"/>
  <c r="AM102" i="1"/>
  <c r="AG102" i="1"/>
  <c r="AG104" i="1" s="1"/>
  <c r="AC102" i="1"/>
  <c r="AD104" i="1"/>
  <c r="AC104" i="1" s="1"/>
  <c r="AR117" i="1"/>
  <c r="AZ115" i="1"/>
  <c r="DJ24" i="1"/>
  <c r="DJ26" i="1" s="1"/>
  <c r="DN17" i="1"/>
  <c r="BN136" i="1"/>
  <c r="BQ136" i="1"/>
  <c r="DN49" i="1"/>
  <c r="DR46" i="1"/>
  <c r="BM215" i="1"/>
  <c r="BE215" i="1"/>
  <c r="BE217" i="1" s="1"/>
  <c r="AZ217" i="1"/>
  <c r="AR62" i="1"/>
  <c r="AZ60" i="1"/>
  <c r="AN49" i="1"/>
  <c r="AR46" i="1"/>
  <c r="CW36" i="1"/>
  <c r="DA34" i="1"/>
  <c r="AM235" i="1"/>
  <c r="AQ233" i="1"/>
  <c r="AY254" i="1"/>
  <c r="AQ256" i="1"/>
  <c r="AZ256" i="1"/>
  <c r="BE254" i="1"/>
  <c r="BE256" i="1" s="1"/>
  <c r="BM254" i="1"/>
  <c r="AR56" i="1"/>
  <c r="AZ53" i="1"/>
  <c r="DH235" i="1"/>
  <c r="ED166" i="1"/>
  <c r="DR166" i="1"/>
  <c r="DV241" i="1"/>
  <c r="AN174" i="1"/>
  <c r="AR171" i="1"/>
  <c r="AI91" i="1"/>
  <c r="AI93" i="1" s="1"/>
  <c r="AU91" i="1"/>
  <c r="AU93" i="1" s="1"/>
  <c r="AG91" i="1"/>
  <c r="AG93" i="1" s="1"/>
  <c r="AD93" i="1"/>
  <c r="AC93" i="1" s="1"/>
  <c r="AC91" i="1"/>
  <c r="AM91" i="1"/>
  <c r="DJ75" i="1"/>
  <c r="DN72" i="1"/>
  <c r="AN142" i="1"/>
  <c r="AR140" i="1"/>
  <c r="AR37" i="1"/>
  <c r="AN39" i="1"/>
  <c r="DE56" i="1"/>
  <c r="DI54" i="1"/>
  <c r="DH221" i="1"/>
  <c r="DH223" i="1" s="1"/>
  <c r="BN145" i="1"/>
  <c r="BQ145" i="1"/>
  <c r="BU145" i="1" s="1"/>
  <c r="BQ78" i="1"/>
  <c r="BN78" i="1"/>
  <c r="DG122" i="1"/>
  <c r="BM308" i="1"/>
  <c r="BR307" i="1"/>
  <c r="AM228" i="1"/>
  <c r="AQ226" i="1"/>
  <c r="AQ76" i="1"/>
  <c r="AM79" i="1"/>
  <c r="AR71" i="1"/>
  <c r="AZ69" i="1"/>
  <c r="BN155" i="1"/>
  <c r="BQ155" i="1"/>
  <c r="BU155" i="1" s="1"/>
  <c r="EJ29" i="1"/>
  <c r="EN27" i="1"/>
  <c r="EN29" i="1" s="1"/>
  <c r="AZ14" i="1"/>
  <c r="AR16" i="1"/>
  <c r="DG223" i="1"/>
  <c r="X185" i="1"/>
  <c r="X310" i="1" s="1"/>
  <c r="CX262" i="1"/>
  <c r="BN216" i="1"/>
  <c r="AG271" i="1"/>
  <c r="CX238" i="1"/>
  <c r="AI195" i="1"/>
  <c r="AU195" i="1"/>
  <c r="BA208" i="1"/>
  <c r="EU296" i="1"/>
  <c r="EG296" i="1"/>
  <c r="EI296" i="1"/>
  <c r="EM296" i="1" s="1"/>
  <c r="DQ142" i="1"/>
  <c r="DU141" i="1"/>
  <c r="AU46" i="1"/>
  <c r="AU49" i="1" s="1"/>
  <c r="AM46" i="1"/>
  <c r="AG46" i="1"/>
  <c r="AG49" i="1" s="1"/>
  <c r="AI46" i="1"/>
  <c r="AI49" i="1" s="1"/>
  <c r="AD49" i="1"/>
  <c r="BN127" i="1"/>
  <c r="BQ127" i="1"/>
  <c r="DJ261" i="1"/>
  <c r="AR195" i="1"/>
  <c r="AZ193" i="1"/>
  <c r="DQ93" i="1"/>
  <c r="DU91" i="1"/>
  <c r="AI123" i="1"/>
  <c r="AI125" i="1" s="1"/>
  <c r="AG123" i="1"/>
  <c r="AG125" i="1" s="1"/>
  <c r="AG135" i="1" s="1"/>
  <c r="AM123" i="1"/>
  <c r="AU123" i="1"/>
  <c r="AU125" i="1" s="1"/>
  <c r="AC123" i="1"/>
  <c r="AD125" i="1"/>
  <c r="AC125" i="1" s="1"/>
  <c r="DE86" i="1"/>
  <c r="DA49" i="1"/>
  <c r="DE46" i="1"/>
  <c r="AR27" i="1"/>
  <c r="AN29" i="1"/>
  <c r="DM266" i="1"/>
  <c r="DV239" i="1"/>
  <c r="DN249" i="1"/>
  <c r="AM156" i="1"/>
  <c r="AQ147" i="1"/>
  <c r="DR146" i="1"/>
  <c r="DV143" i="1"/>
  <c r="DV146" i="1" s="1"/>
  <c r="DI16" i="1"/>
  <c r="DM14" i="1"/>
  <c r="DZ238" i="1"/>
  <c r="DM111" i="1"/>
  <c r="DI113" i="1"/>
  <c r="AQ14" i="1"/>
  <c r="AM16" i="1"/>
  <c r="BN149" i="1"/>
  <c r="BQ149" i="1"/>
  <c r="BU149" i="1" s="1"/>
  <c r="EC27" i="1"/>
  <c r="DM29" i="1"/>
  <c r="DQ27" i="1"/>
  <c r="BQ268" i="1"/>
  <c r="BU268" i="1" s="1"/>
  <c r="BN268" i="1"/>
  <c r="BN192" i="1"/>
  <c r="BQ192" i="1"/>
  <c r="EI212" i="1"/>
  <c r="EM212" i="1" s="1"/>
  <c r="EU212" i="1"/>
  <c r="EG212" i="1"/>
  <c r="EU268" i="1"/>
  <c r="EG268" i="1"/>
  <c r="EI268" i="1"/>
  <c r="EM268" i="1" s="1"/>
  <c r="BA121" i="1"/>
  <c r="BL121" i="1"/>
  <c r="BD121" i="1"/>
  <c r="AR222" i="1"/>
  <c r="DJ79" i="1"/>
  <c r="DN76" i="1"/>
  <c r="DR141" i="1"/>
  <c r="DN142" i="1"/>
  <c r="DG62" i="1"/>
  <c r="BV309" i="1"/>
  <c r="AQ257" i="1"/>
  <c r="AM260" i="1"/>
  <c r="AU181" i="1"/>
  <c r="AU184" i="1" s="1"/>
  <c r="AM181" i="1"/>
  <c r="AG181" i="1"/>
  <c r="AG184" i="1" s="1"/>
  <c r="AC181" i="1"/>
  <c r="AD184" i="1"/>
  <c r="AI181" i="1"/>
  <c r="AI184" i="1" s="1"/>
  <c r="ED219" i="1"/>
  <c r="DB86" i="1"/>
  <c r="CX89" i="1"/>
  <c r="DB260" i="1"/>
  <c r="DF257" i="1"/>
  <c r="AR238" i="1"/>
  <c r="AZ236" i="1"/>
  <c r="DN110" i="1"/>
  <c r="DR108" i="1"/>
  <c r="DA261" i="1"/>
  <c r="BU88" i="1"/>
  <c r="DH98" i="1"/>
  <c r="DJ96" i="1"/>
  <c r="AU27" i="1"/>
  <c r="AU29" i="1" s="1"/>
  <c r="AM27" i="1"/>
  <c r="AG27" i="1"/>
  <c r="AG29" i="1" s="1"/>
  <c r="AC27" i="1"/>
  <c r="AD29" i="1"/>
  <c r="AC29" i="1" s="1"/>
  <c r="AI27" i="1"/>
  <c r="AI29" i="1" s="1"/>
  <c r="BQ212" i="1"/>
  <c r="BU212" i="1" s="1"/>
  <c r="BN212" i="1"/>
  <c r="BN51" i="1"/>
  <c r="BQ51" i="1"/>
  <c r="DR307" i="1"/>
  <c r="DI7" i="1"/>
  <c r="DM5" i="1"/>
  <c r="BN183" i="1"/>
  <c r="BQ183" i="1"/>
  <c r="BU183" i="1" s="1"/>
  <c r="CW269" i="1"/>
  <c r="CW271" i="1" s="1"/>
  <c r="DA267" i="1"/>
  <c r="DF256" i="1"/>
  <c r="DJ255" i="1"/>
  <c r="DR195" i="1"/>
  <c r="DV193" i="1"/>
  <c r="DV195" i="1" s="1"/>
  <c r="AI215" i="1"/>
  <c r="AI217" i="1" s="1"/>
  <c r="AU215" i="1"/>
  <c r="AU217" i="1" s="1"/>
  <c r="AM215" i="1"/>
  <c r="AG215" i="1"/>
  <c r="AG217" i="1" s="1"/>
  <c r="AC215" i="1"/>
  <c r="AD217" i="1"/>
  <c r="AC217" i="1" s="1"/>
  <c r="DJ36" i="1"/>
  <c r="DN34" i="1"/>
  <c r="DE63" i="1"/>
  <c r="AQ43" i="1"/>
  <c r="AY40" i="1"/>
  <c r="BN38" i="1"/>
  <c r="BQ38" i="1"/>
  <c r="BU38" i="1" s="1"/>
  <c r="AI241" i="1"/>
  <c r="AI248" i="1" s="1"/>
  <c r="AI262" i="1" s="1"/>
  <c r="AD248" i="1"/>
  <c r="AC248" i="1" s="1"/>
  <c r="AM241" i="1"/>
  <c r="AU241" i="1"/>
  <c r="AU248" i="1" s="1"/>
  <c r="AC241" i="1"/>
  <c r="AG241" i="1"/>
  <c r="AG248" i="1" s="1"/>
  <c r="ED218" i="1"/>
  <c r="DR218" i="1"/>
  <c r="AN104" i="1"/>
  <c r="AR102" i="1"/>
  <c r="DI213" i="1"/>
  <c r="DM210" i="1"/>
  <c r="AI162" i="1"/>
  <c r="AI164" i="1" s="1"/>
  <c r="AU162" i="1"/>
  <c r="AU164" i="1" s="1"/>
  <c r="AM162" i="1"/>
  <c r="AG162" i="1"/>
  <c r="AG164" i="1" s="1"/>
  <c r="AC162" i="1"/>
  <c r="AD164" i="1"/>
  <c r="AC164" i="1" s="1"/>
  <c r="AN125" i="1"/>
  <c r="AR123" i="1"/>
  <c r="EU176" i="1"/>
  <c r="EG176" i="1"/>
  <c r="EI176" i="1"/>
  <c r="EM176" i="1" s="1"/>
  <c r="EI155" i="1"/>
  <c r="EM155" i="1" s="1"/>
  <c r="EU155" i="1"/>
  <c r="EG155" i="1"/>
  <c r="BM12" i="1"/>
  <c r="BE12" i="1"/>
  <c r="BA12" i="1"/>
  <c r="EC251" i="1"/>
  <c r="DQ251" i="1"/>
  <c r="DU251" i="1" s="1"/>
  <c r="EC148" i="1"/>
  <c r="DY156" i="1"/>
  <c r="DN37" i="1"/>
  <c r="DJ39" i="1"/>
  <c r="DE162" i="1"/>
  <c r="DA164" i="1"/>
  <c r="AR98" i="1"/>
  <c r="AZ96" i="1"/>
  <c r="DH228" i="1"/>
  <c r="BN211" i="1"/>
  <c r="BQ211" i="1"/>
  <c r="BU211" i="1" s="1"/>
  <c r="DJ290" i="1"/>
  <c r="DN289" i="1"/>
  <c r="DU222" i="1"/>
  <c r="AN271" i="1"/>
  <c r="AR266" i="1"/>
  <c r="AY111" i="1"/>
  <c r="AQ113" i="1"/>
  <c r="DG36" i="1"/>
  <c r="DB271" i="1"/>
  <c r="DF266" i="1"/>
  <c r="AU143" i="1"/>
  <c r="AU146" i="1" s="1"/>
  <c r="AM143" i="1"/>
  <c r="AG143" i="1"/>
  <c r="AG146" i="1" s="1"/>
  <c r="AC143" i="1"/>
  <c r="AI143" i="1"/>
  <c r="AI146" i="1" s="1"/>
  <c r="AD146" i="1"/>
  <c r="AC146" i="1" s="1"/>
  <c r="DF67" i="1"/>
  <c r="DB68" i="1"/>
  <c r="CX235" i="1"/>
  <c r="DB233" i="1"/>
  <c r="BQ20" i="1"/>
  <c r="BU20" i="1" s="1"/>
  <c r="BN20" i="1"/>
  <c r="BN9" i="1"/>
  <c r="BQ9" i="1"/>
  <c r="BU9" i="1" s="1"/>
  <c r="DR263" i="1"/>
  <c r="DN265" i="1"/>
  <c r="AN164" i="1"/>
  <c r="AR162" i="1"/>
  <c r="DH156" i="1"/>
  <c r="AM179" i="1"/>
  <c r="AQ177" i="1"/>
  <c r="DN117" i="1"/>
  <c r="DR115" i="1"/>
  <c r="DQ66" i="1"/>
  <c r="BN291" i="1"/>
  <c r="BQ291" i="1"/>
  <c r="BN189" i="1"/>
  <c r="BQ189" i="1"/>
  <c r="DN43" i="1"/>
  <c r="DR40" i="1"/>
  <c r="AR269" i="1"/>
  <c r="AZ267" i="1"/>
  <c r="AQ261" i="1"/>
  <c r="AM195" i="1"/>
  <c r="AQ193" i="1"/>
  <c r="AR101" i="1"/>
  <c r="AZ99" i="1"/>
  <c r="BQ208" i="1"/>
  <c r="DQ309" i="1"/>
  <c r="BN95" i="1"/>
  <c r="BQ95" i="1"/>
  <c r="BU95" i="1" s="1"/>
  <c r="DH262" i="1"/>
  <c r="BN45" i="1"/>
  <c r="AH89" i="1"/>
  <c r="CW185" i="1"/>
  <c r="EH184" i="1"/>
  <c r="AU271" i="1"/>
  <c r="CW240" i="1"/>
  <c r="BA250" i="1"/>
  <c r="CV223" i="1"/>
  <c r="CV310" i="1" s="1"/>
  <c r="BE308" i="1"/>
  <c r="DF167" i="1" l="1"/>
  <c r="DB168" i="1"/>
  <c r="DB262" i="1"/>
  <c r="AU262" i="1"/>
  <c r="AV310" i="1"/>
  <c r="BN129" i="1"/>
  <c r="BQ129" i="1"/>
  <c r="CX223" i="1"/>
  <c r="AM187" i="1"/>
  <c r="AQ186" i="1"/>
  <c r="BQ229" i="1"/>
  <c r="BN229" i="1"/>
  <c r="BN148" i="1"/>
  <c r="DA191" i="1"/>
  <c r="DA223" i="1" s="1"/>
  <c r="DE189" i="1"/>
  <c r="DA64" i="1"/>
  <c r="CW65" i="1"/>
  <c r="CW89" i="1" s="1"/>
  <c r="AH310" i="1"/>
  <c r="BN161" i="1"/>
  <c r="DG135" i="1"/>
  <c r="Z89" i="1"/>
  <c r="AB89" i="1" s="1"/>
  <c r="AN135" i="1"/>
  <c r="DG89" i="1"/>
  <c r="DF215" i="1"/>
  <c r="DB217" i="1"/>
  <c r="DM39" i="1"/>
  <c r="DQ37" i="1"/>
  <c r="EH216" i="1"/>
  <c r="EV216" i="1"/>
  <c r="EJ216" i="1"/>
  <c r="EN216" i="1" s="1"/>
  <c r="DH240" i="1"/>
  <c r="EI237" i="1"/>
  <c r="EM237" i="1" s="1"/>
  <c r="EG237" i="1"/>
  <c r="EU237" i="1"/>
  <c r="EC70" i="1"/>
  <c r="DQ70" i="1"/>
  <c r="DU70" i="1" s="1"/>
  <c r="AN185" i="1"/>
  <c r="AG262" i="1"/>
  <c r="AQ236" i="1"/>
  <c r="AM238" i="1"/>
  <c r="AM240" i="1" s="1"/>
  <c r="EG252" i="1"/>
  <c r="EU252" i="1"/>
  <c r="EI252" i="1"/>
  <c r="EM252" i="1" s="1"/>
  <c r="DA235" i="1"/>
  <c r="DA240" i="1" s="1"/>
  <c r="DE233" i="1"/>
  <c r="BN170" i="1"/>
  <c r="BQ170" i="1"/>
  <c r="DY10" i="1"/>
  <c r="EC8" i="1"/>
  <c r="EN113" i="1"/>
  <c r="DR123" i="1"/>
  <c r="ED123" i="1"/>
  <c r="DN125" i="1"/>
  <c r="AQ99" i="1"/>
  <c r="AM101" i="1"/>
  <c r="BN169" i="1"/>
  <c r="BQ169" i="1"/>
  <c r="BM267" i="1"/>
  <c r="BE267" i="1"/>
  <c r="BE269" i="1" s="1"/>
  <c r="AZ269" i="1"/>
  <c r="DR289" i="1"/>
  <c r="DN290" i="1"/>
  <c r="DR37" i="1"/>
  <c r="DN39" i="1"/>
  <c r="ED37" i="1"/>
  <c r="AR104" i="1"/>
  <c r="AZ102" i="1"/>
  <c r="AM248" i="1"/>
  <c r="AQ241" i="1"/>
  <c r="AY257" i="1"/>
  <c r="AQ260" i="1"/>
  <c r="BN121" i="1"/>
  <c r="BQ121" i="1"/>
  <c r="BU121" i="1" s="1"/>
  <c r="DQ29" i="1"/>
  <c r="DU27" i="1"/>
  <c r="DU29" i="1" s="1"/>
  <c r="EC111" i="1"/>
  <c r="DM113" i="1"/>
  <c r="DQ111" i="1"/>
  <c r="AZ27" i="1"/>
  <c r="AR29" i="1"/>
  <c r="DI86" i="1"/>
  <c r="DU309" i="1"/>
  <c r="AZ101" i="1"/>
  <c r="BM99" i="1"/>
  <c r="BE99" i="1"/>
  <c r="BE101" i="1" s="1"/>
  <c r="AY261" i="1"/>
  <c r="DR43" i="1"/>
  <c r="DV40" i="1"/>
  <c r="DR117" i="1"/>
  <c r="DV115" i="1"/>
  <c r="DF271" i="1"/>
  <c r="DJ266" i="1"/>
  <c r="DY222" i="1"/>
  <c r="AZ98" i="1"/>
  <c r="BM96" i="1"/>
  <c r="BE96" i="1"/>
  <c r="BE98" i="1" s="1"/>
  <c r="BR12" i="1"/>
  <c r="BV12" i="1" s="1"/>
  <c r="BN12" i="1"/>
  <c r="AM164" i="1"/>
  <c r="AQ162" i="1"/>
  <c r="DV218" i="1"/>
  <c r="DI63" i="1"/>
  <c r="DJ256" i="1"/>
  <c r="DN255" i="1"/>
  <c r="DV307" i="1"/>
  <c r="DJ98" i="1"/>
  <c r="DN96" i="1"/>
  <c r="DE261" i="1"/>
  <c r="AZ238" i="1"/>
  <c r="BM236" i="1"/>
  <c r="BE236" i="1"/>
  <c r="BE238" i="1" s="1"/>
  <c r="DN79" i="1"/>
  <c r="DR76" i="1"/>
  <c r="DQ14" i="1"/>
  <c r="DM16" i="1"/>
  <c r="AQ156" i="1"/>
  <c r="AY147" i="1"/>
  <c r="DU93" i="1"/>
  <c r="DY91" i="1"/>
  <c r="DN261" i="1"/>
  <c r="BM14" i="1"/>
  <c r="BE14" i="1"/>
  <c r="BE16" i="1" s="1"/>
  <c r="AZ16" i="1"/>
  <c r="AY76" i="1"/>
  <c r="AQ79" i="1"/>
  <c r="AZ37" i="1"/>
  <c r="AR39" i="1"/>
  <c r="EJ166" i="1"/>
  <c r="EV166" i="1"/>
  <c r="EH166" i="1"/>
  <c r="BM53" i="1"/>
  <c r="BE53" i="1"/>
  <c r="BE56" i="1" s="1"/>
  <c r="AZ56" i="1"/>
  <c r="AZ117" i="1"/>
  <c r="BM115" i="1"/>
  <c r="BE115" i="1"/>
  <c r="BE117" i="1" s="1"/>
  <c r="BQ100" i="1"/>
  <c r="BN100" i="1"/>
  <c r="DF65" i="1"/>
  <c r="DJ63" i="1"/>
  <c r="DU88" i="1"/>
  <c r="BU37" i="1"/>
  <c r="BU39" i="1" s="1"/>
  <c r="BQ39" i="1"/>
  <c r="BR57" i="1"/>
  <c r="BR59" i="1" s="1"/>
  <c r="BM59" i="1"/>
  <c r="BR34" i="1"/>
  <c r="BR36" i="1" s="1"/>
  <c r="BM36" i="1"/>
  <c r="DE184" i="1"/>
  <c r="DI182" i="1"/>
  <c r="DN7" i="1"/>
  <c r="ED5" i="1"/>
  <c r="DR5" i="1"/>
  <c r="DU307" i="1"/>
  <c r="BQ172" i="1"/>
  <c r="BU172" i="1" s="1"/>
  <c r="BN172" i="1"/>
  <c r="BN131" i="1"/>
  <c r="BQ131" i="1"/>
  <c r="EV158" i="1"/>
  <c r="EH158" i="1"/>
  <c r="EJ158" i="1"/>
  <c r="EN158" i="1" s="1"/>
  <c r="DR62" i="1"/>
  <c r="DV60" i="1"/>
  <c r="EC207" i="1"/>
  <c r="DQ207" i="1"/>
  <c r="DM209" i="1"/>
  <c r="EJ146" i="1"/>
  <c r="EN143" i="1"/>
  <c r="EN146" i="1" s="1"/>
  <c r="AR122" i="1"/>
  <c r="AZ120" i="1"/>
  <c r="DY226" i="1"/>
  <c r="DQ117" i="1"/>
  <c r="DU115" i="1"/>
  <c r="AQ115" i="1"/>
  <c r="AM117" i="1"/>
  <c r="BU78" i="1"/>
  <c r="BS79" i="1"/>
  <c r="BS89" i="1" s="1"/>
  <c r="BS310" i="1" s="1"/>
  <c r="DQ79" i="1"/>
  <c r="DU76" i="1"/>
  <c r="AR221" i="1"/>
  <c r="AZ218" i="1"/>
  <c r="AM269" i="1"/>
  <c r="AM271" i="1" s="1"/>
  <c r="AQ267" i="1"/>
  <c r="DQ43" i="1"/>
  <c r="DU40" i="1"/>
  <c r="DE248" i="1"/>
  <c r="DI242" i="1"/>
  <c r="DF238" i="1"/>
  <c r="DJ236" i="1"/>
  <c r="BN255" i="1"/>
  <c r="BQ255" i="1"/>
  <c r="BU255" i="1" s="1"/>
  <c r="BU256" i="1" s="1"/>
  <c r="AZ191" i="1"/>
  <c r="BM188" i="1"/>
  <c r="BE188" i="1"/>
  <c r="BE191" i="1" s="1"/>
  <c r="DV138" i="1"/>
  <c r="DR139" i="1"/>
  <c r="AR248" i="1"/>
  <c r="AZ241" i="1"/>
  <c r="AB10" i="1"/>
  <c r="AC10" i="1" s="1"/>
  <c r="AC8" i="1"/>
  <c r="AR240" i="1"/>
  <c r="AZ239" i="1"/>
  <c r="AZ93" i="1"/>
  <c r="BM91" i="1"/>
  <c r="BE91" i="1"/>
  <c r="BE93" i="1" s="1"/>
  <c r="DE187" i="1"/>
  <c r="DI186" i="1"/>
  <c r="DE286" i="1"/>
  <c r="DE288" i="1" s="1"/>
  <c r="DI272" i="1"/>
  <c r="DE107" i="1"/>
  <c r="DI105" i="1"/>
  <c r="EM188" i="1"/>
  <c r="DV269" i="1"/>
  <c r="DZ267" i="1"/>
  <c r="AM253" i="1"/>
  <c r="AQ249" i="1"/>
  <c r="DR69" i="1"/>
  <c r="DE69" i="1"/>
  <c r="DE71" i="1" s="1"/>
  <c r="DA71" i="1"/>
  <c r="DM69" i="1"/>
  <c r="DZ226" i="1"/>
  <c r="BQ124" i="1"/>
  <c r="BN124" i="1"/>
  <c r="DQ72" i="1"/>
  <c r="DM75" i="1"/>
  <c r="DY166" i="1"/>
  <c r="AQ17" i="1"/>
  <c r="AM24" i="1"/>
  <c r="AM26" i="1" s="1"/>
  <c r="AQ69" i="1"/>
  <c r="AM71" i="1"/>
  <c r="DZ88" i="1"/>
  <c r="BN70" i="1"/>
  <c r="BQ70" i="1"/>
  <c r="DU239" i="1"/>
  <c r="DJ252" i="1"/>
  <c r="DF253" i="1"/>
  <c r="BM17" i="1"/>
  <c r="BE17" i="1"/>
  <c r="BE24" i="1" s="1"/>
  <c r="BE26" i="1" s="1"/>
  <c r="AZ24" i="1"/>
  <c r="AZ26" i="1" s="1"/>
  <c r="BM108" i="1"/>
  <c r="BE108" i="1"/>
  <c r="BE110" i="1" s="1"/>
  <c r="AZ110" i="1"/>
  <c r="EM137" i="1"/>
  <c r="DF308" i="1"/>
  <c r="DJ298" i="1"/>
  <c r="DN205" i="1"/>
  <c r="ED199" i="1"/>
  <c r="DR199" i="1"/>
  <c r="BM11" i="1"/>
  <c r="BE11" i="1"/>
  <c r="BE13" i="1" s="1"/>
  <c r="AZ13" i="1"/>
  <c r="ED80" i="1"/>
  <c r="DR80" i="1"/>
  <c r="DN82" i="1"/>
  <c r="BR41" i="1"/>
  <c r="BV41" i="1" s="1"/>
  <c r="BN41" i="1"/>
  <c r="AQ108" i="1"/>
  <c r="AM110" i="1"/>
  <c r="AQ210" i="1"/>
  <c r="AM213" i="1"/>
  <c r="EI221" i="1"/>
  <c r="EM218" i="1"/>
  <c r="EM221" i="1" s="1"/>
  <c r="DN59" i="1"/>
  <c r="ED57" i="1"/>
  <c r="DR57" i="1"/>
  <c r="BR261" i="1"/>
  <c r="DQ13" i="1"/>
  <c r="DU11" i="1"/>
  <c r="DU13" i="1" s="1"/>
  <c r="DE99" i="1"/>
  <c r="DA101" i="1"/>
  <c r="DV134" i="1"/>
  <c r="DZ132" i="1"/>
  <c r="AQ222" i="1"/>
  <c r="CW265" i="1"/>
  <c r="DA263" i="1"/>
  <c r="AG185" i="1"/>
  <c r="AR262" i="1"/>
  <c r="DH185" i="1"/>
  <c r="EJ113" i="1"/>
  <c r="AG89" i="1"/>
  <c r="AI89" i="1"/>
  <c r="BE235" i="1"/>
  <c r="BN35" i="1"/>
  <c r="BE68" i="1"/>
  <c r="AM217" i="1"/>
  <c r="AQ215" i="1"/>
  <c r="AC184" i="1"/>
  <c r="AD185" i="1"/>
  <c r="AC185" i="1" s="1"/>
  <c r="DV141" i="1"/>
  <c r="DR142" i="1"/>
  <c r="AZ222" i="1"/>
  <c r="AR223" i="1"/>
  <c r="EI27" i="1"/>
  <c r="EC29" i="1"/>
  <c r="EU29" i="1" s="1"/>
  <c r="EU27" i="1"/>
  <c r="EG27" i="1"/>
  <c r="EG29" i="1" s="1"/>
  <c r="AY14" i="1"/>
  <c r="AQ16" i="1"/>
  <c r="EV237" i="1"/>
  <c r="EH237" i="1"/>
  <c r="EJ237" i="1"/>
  <c r="EN237" i="1" s="1"/>
  <c r="DR249" i="1"/>
  <c r="ED249" i="1"/>
  <c r="AM49" i="1"/>
  <c r="AQ46" i="1"/>
  <c r="BR308" i="1"/>
  <c r="BV307" i="1"/>
  <c r="BV308" i="1" s="1"/>
  <c r="ED72" i="1"/>
  <c r="DR72" i="1"/>
  <c r="DN75" i="1"/>
  <c r="AR174" i="1"/>
  <c r="AZ171" i="1"/>
  <c r="DV166" i="1"/>
  <c r="AQ235" i="1"/>
  <c r="AY233" i="1"/>
  <c r="AR49" i="1"/>
  <c r="AZ46" i="1"/>
  <c r="BM263" i="1"/>
  <c r="BE263" i="1"/>
  <c r="BE265" i="1" s="1"/>
  <c r="AZ265" i="1"/>
  <c r="AC308" i="1"/>
  <c r="BQ150" i="1"/>
  <c r="BU150" i="1" s="1"/>
  <c r="BN150" i="1"/>
  <c r="AQ289" i="1"/>
  <c r="AM290" i="1"/>
  <c r="DM57" i="1"/>
  <c r="DI59" i="1"/>
  <c r="AM56" i="1"/>
  <c r="AQ53" i="1"/>
  <c r="BE257" i="1"/>
  <c r="BE260" i="1" s="1"/>
  <c r="AZ260" i="1"/>
  <c r="BM257" i="1"/>
  <c r="DE110" i="1"/>
  <c r="DI108" i="1"/>
  <c r="DY199" i="1"/>
  <c r="DU205" i="1"/>
  <c r="AQ205" i="1"/>
  <c r="AY199" i="1"/>
  <c r="DF85" i="1"/>
  <c r="DJ83" i="1"/>
  <c r="AZ113" i="1"/>
  <c r="BM111" i="1"/>
  <c r="BE111" i="1"/>
  <c r="BE113" i="1" s="1"/>
  <c r="DZ224" i="1"/>
  <c r="DV225" i="1"/>
  <c r="DN16" i="1"/>
  <c r="DR14" i="1"/>
  <c r="AM13" i="1"/>
  <c r="AQ11" i="1"/>
  <c r="DQ143" i="1"/>
  <c r="DM146" i="1"/>
  <c r="AY85" i="1"/>
  <c r="BL83" i="1"/>
  <c r="BD83" i="1"/>
  <c r="BD85" i="1" s="1"/>
  <c r="AC82" i="1"/>
  <c r="AY68" i="1"/>
  <c r="BL66" i="1"/>
  <c r="BD66" i="1"/>
  <c r="BD68" i="1" s="1"/>
  <c r="BA66" i="1"/>
  <c r="BA68" i="1" s="1"/>
  <c r="AQ72" i="1"/>
  <c r="AM75" i="1"/>
  <c r="DM290" i="1"/>
  <c r="EC289" i="1"/>
  <c r="DQ289" i="1"/>
  <c r="BA96" i="1"/>
  <c r="BA98" i="1" s="1"/>
  <c r="BL96" i="1"/>
  <c r="BD96" i="1"/>
  <c r="BD98" i="1" s="1"/>
  <c r="AY98" i="1"/>
  <c r="DF220" i="1"/>
  <c r="DB221" i="1"/>
  <c r="DB223" i="1" s="1"/>
  <c r="AC269" i="1"/>
  <c r="AD271" i="1"/>
  <c r="AC271" i="1" s="1"/>
  <c r="DQ125" i="1"/>
  <c r="DU123" i="1"/>
  <c r="AQ239" i="1"/>
  <c r="BQ157" i="1"/>
  <c r="BU157" i="1" s="1"/>
  <c r="BN157" i="1"/>
  <c r="BN202" i="1"/>
  <c r="BQ202" i="1"/>
  <c r="BU202" i="1" s="1"/>
  <c r="CX107" i="1"/>
  <c r="CX135" i="1" s="1"/>
  <c r="DB105" i="1"/>
  <c r="BN87" i="1"/>
  <c r="BQ87" i="1"/>
  <c r="Z310" i="1"/>
  <c r="AB310" i="1" s="1"/>
  <c r="EM53" i="1"/>
  <c r="AQ36" i="1"/>
  <c r="AY34" i="1"/>
  <c r="AM174" i="1"/>
  <c r="AQ171" i="1"/>
  <c r="BQ225" i="1"/>
  <c r="BU224" i="1"/>
  <c r="BU225" i="1" s="1"/>
  <c r="DI118" i="1"/>
  <c r="BR40" i="1"/>
  <c r="BM43" i="1"/>
  <c r="AM209" i="1"/>
  <c r="AQ207" i="1"/>
  <c r="DN186" i="1"/>
  <c r="DJ187" i="1"/>
  <c r="BM63" i="1"/>
  <c r="BE63" i="1"/>
  <c r="BE65" i="1" s="1"/>
  <c r="AZ65" i="1"/>
  <c r="AZ134" i="1"/>
  <c r="BM132" i="1"/>
  <c r="BE132" i="1"/>
  <c r="BE134" i="1" s="1"/>
  <c r="BM290" i="1"/>
  <c r="BR289" i="1"/>
  <c r="BR290" i="1" s="1"/>
  <c r="DF122" i="1"/>
  <c r="DJ120" i="1"/>
  <c r="BQ138" i="1"/>
  <c r="BN138" i="1"/>
  <c r="EJ10" i="1"/>
  <c r="EN8" i="1"/>
  <c r="EN10" i="1" s="1"/>
  <c r="DQ80" i="1"/>
  <c r="DM82" i="1"/>
  <c r="EJ195" i="1"/>
  <c r="EN193" i="1"/>
  <c r="EN195" i="1" s="1"/>
  <c r="DE228" i="1"/>
  <c r="DI227" i="1"/>
  <c r="ED222" i="1"/>
  <c r="DR222" i="1"/>
  <c r="DR50" i="1"/>
  <c r="DN52" i="1"/>
  <c r="ED50" i="1"/>
  <c r="DE174" i="1"/>
  <c r="DI171" i="1"/>
  <c r="BR105" i="1"/>
  <c r="BM107" i="1"/>
  <c r="EC13" i="1"/>
  <c r="EU13" i="1" s="1"/>
  <c r="EU11" i="1"/>
  <c r="EG11" i="1"/>
  <c r="EG13" i="1" s="1"/>
  <c r="EI11" i="1"/>
  <c r="BR15" i="1"/>
  <c r="BV15" i="1" s="1"/>
  <c r="BV16" i="1" s="1"/>
  <c r="BN15" i="1"/>
  <c r="AU185" i="1"/>
  <c r="BE36" i="1"/>
  <c r="DA185" i="1"/>
  <c r="CW135" i="1"/>
  <c r="EI179" i="1"/>
  <c r="CX185" i="1"/>
  <c r="AG223" i="1"/>
  <c r="CU310" i="1"/>
  <c r="EU148" i="1"/>
  <c r="EG148" i="1"/>
  <c r="EI148" i="1"/>
  <c r="EM148" i="1" s="1"/>
  <c r="AR125" i="1"/>
  <c r="AZ123" i="1"/>
  <c r="DM213" i="1"/>
  <c r="DQ210" i="1"/>
  <c r="AQ195" i="1"/>
  <c r="AY193" i="1"/>
  <c r="AQ179" i="1"/>
  <c r="AY177" i="1"/>
  <c r="DB235" i="1"/>
  <c r="DF233" i="1"/>
  <c r="AR271" i="1"/>
  <c r="AZ266" i="1"/>
  <c r="AY43" i="1"/>
  <c r="BL40" i="1"/>
  <c r="BD40" i="1"/>
  <c r="BD43" i="1" s="1"/>
  <c r="BA40" i="1"/>
  <c r="BA43" i="1" s="1"/>
  <c r="DN36" i="1"/>
  <c r="DR34" i="1"/>
  <c r="DA269" i="1"/>
  <c r="DA271" i="1" s="1"/>
  <c r="DE267" i="1"/>
  <c r="DM7" i="1"/>
  <c r="DQ5" i="1"/>
  <c r="AM29" i="1"/>
  <c r="AQ27" i="1"/>
  <c r="DR110" i="1"/>
  <c r="DV108" i="1"/>
  <c r="DF260" i="1"/>
  <c r="DF262" i="1" s="1"/>
  <c r="DJ257" i="1"/>
  <c r="EV219" i="1"/>
  <c r="EH219" i="1"/>
  <c r="EJ219" i="1"/>
  <c r="EN219" i="1" s="1"/>
  <c r="AQ181" i="1"/>
  <c r="AM184" i="1"/>
  <c r="DQ266" i="1"/>
  <c r="DE49" i="1"/>
  <c r="DI46" i="1"/>
  <c r="AZ195" i="1"/>
  <c r="BE193" i="1"/>
  <c r="BE195" i="1" s="1"/>
  <c r="BM193" i="1"/>
  <c r="BM256" i="1"/>
  <c r="BR254" i="1"/>
  <c r="BR256" i="1" s="1"/>
  <c r="BA254" i="1"/>
  <c r="BA256" i="1" s="1"/>
  <c r="BL254" i="1"/>
  <c r="BD254" i="1"/>
  <c r="BD256" i="1" s="1"/>
  <c r="AY256" i="1"/>
  <c r="DR49" i="1"/>
  <c r="DV46" i="1"/>
  <c r="DR17" i="1"/>
  <c r="DN24" i="1"/>
  <c r="DN26" i="1" s="1"/>
  <c r="ED17" i="1"/>
  <c r="AQ302" i="1"/>
  <c r="AM308" i="1"/>
  <c r="DG253" i="1"/>
  <c r="DG262" i="1" s="1"/>
  <c r="BN203" i="1"/>
  <c r="BQ203" i="1"/>
  <c r="BU203" i="1" s="1"/>
  <c r="BQ232" i="1"/>
  <c r="BU232" i="1" s="1"/>
  <c r="BN232" i="1"/>
  <c r="BN258" i="1"/>
  <c r="BQ258" i="1"/>
  <c r="BU258" i="1" s="1"/>
  <c r="BU260" i="1" s="1"/>
  <c r="DF104" i="1"/>
  <c r="DJ102" i="1"/>
  <c r="AY5" i="1"/>
  <c r="AQ7" i="1"/>
  <c r="BM7" i="1"/>
  <c r="BR5" i="1"/>
  <c r="BM210" i="1"/>
  <c r="BE210" i="1"/>
  <c r="BE213" i="1" s="1"/>
  <c r="AZ213" i="1"/>
  <c r="AZ156" i="1"/>
  <c r="BM147" i="1"/>
  <c r="BE147" i="1"/>
  <c r="BE156" i="1" s="1"/>
  <c r="DF209" i="1"/>
  <c r="DJ207" i="1"/>
  <c r="DY241" i="1"/>
  <c r="DM33" i="1"/>
  <c r="DQ30" i="1"/>
  <c r="DU133" i="1"/>
  <c r="DQ134" i="1"/>
  <c r="DE217" i="1"/>
  <c r="DI215" i="1"/>
  <c r="DF71" i="1"/>
  <c r="DJ70" i="1"/>
  <c r="BN264" i="1"/>
  <c r="BQ264" i="1"/>
  <c r="DE120" i="1"/>
  <c r="DA122" i="1"/>
  <c r="DB156" i="1"/>
  <c r="DF147" i="1"/>
  <c r="BR87" i="1"/>
  <c r="AZ166" i="1"/>
  <c r="AR168" i="1"/>
  <c r="AQ168" i="1"/>
  <c r="AY166" i="1"/>
  <c r="DE156" i="1"/>
  <c r="DI147" i="1"/>
  <c r="AQ263" i="1"/>
  <c r="AM265" i="1"/>
  <c r="AB7" i="1"/>
  <c r="AC7" i="1" s="1"/>
  <c r="AC5" i="1"/>
  <c r="AY105" i="1"/>
  <c r="AQ107" i="1"/>
  <c r="DM249" i="1"/>
  <c r="AZ52" i="1"/>
  <c r="BM50" i="1"/>
  <c r="BE50" i="1"/>
  <c r="BE52" i="1" s="1"/>
  <c r="AQ142" i="1"/>
  <c r="AY140" i="1"/>
  <c r="BR199" i="1"/>
  <c r="BR205" i="1" s="1"/>
  <c r="BM205" i="1"/>
  <c r="DN286" i="1"/>
  <c r="DN288" i="1" s="1"/>
  <c r="ED272" i="1"/>
  <c r="DR272" i="1"/>
  <c r="DI260" i="1"/>
  <c r="DM257" i="1"/>
  <c r="EM254" i="1"/>
  <c r="DA62" i="1"/>
  <c r="DE60" i="1"/>
  <c r="AQ59" i="1"/>
  <c r="AY57" i="1"/>
  <c r="EU121" i="1"/>
  <c r="EG121" i="1"/>
  <c r="EI121" i="1"/>
  <c r="EM121" i="1" s="1"/>
  <c r="BQ243" i="1"/>
  <c r="BU243" i="1" s="1"/>
  <c r="BN243" i="1"/>
  <c r="BN242" i="1"/>
  <c r="BQ242" i="1"/>
  <c r="BU242" i="1" s="1"/>
  <c r="BM79" i="1"/>
  <c r="BR76" i="1"/>
  <c r="EC24" i="1"/>
  <c r="EI17" i="1"/>
  <c r="EU17" i="1"/>
  <c r="EG17" i="1"/>
  <c r="EG24" i="1" s="1"/>
  <c r="EG26" i="1" s="1"/>
  <c r="DQ181" i="1"/>
  <c r="AM122" i="1"/>
  <c r="AQ120" i="1"/>
  <c r="DE238" i="1"/>
  <c r="DI236" i="1"/>
  <c r="AQ30" i="1"/>
  <c r="AM33" i="1"/>
  <c r="AC24" i="1"/>
  <c r="AD26" i="1"/>
  <c r="AC26" i="1" s="1"/>
  <c r="AQ188" i="1"/>
  <c r="AM191" i="1"/>
  <c r="DE160" i="1"/>
  <c r="DI159" i="1"/>
  <c r="BM33" i="1"/>
  <c r="BR30" i="1"/>
  <c r="BR33" i="1" s="1"/>
  <c r="BR186" i="1"/>
  <c r="BR187" i="1" s="1"/>
  <c r="BM187" i="1"/>
  <c r="EJ164" i="1"/>
  <c r="EN162" i="1"/>
  <c r="EN164" i="1" s="1"/>
  <c r="DE308" i="1"/>
  <c r="DI299" i="1"/>
  <c r="AZ75" i="1"/>
  <c r="BM72" i="1"/>
  <c r="BE72" i="1"/>
  <c r="BE75" i="1" s="1"/>
  <c r="AR139" i="1"/>
  <c r="AZ137" i="1"/>
  <c r="EJ126" i="1"/>
  <c r="EN126" i="1" s="1"/>
  <c r="EV126" i="1"/>
  <c r="EH126" i="1"/>
  <c r="DB174" i="1"/>
  <c r="DB185" i="1" s="1"/>
  <c r="DF171" i="1"/>
  <c r="AQ63" i="1"/>
  <c r="AM65" i="1"/>
  <c r="AM221" i="1"/>
  <c r="AQ218" i="1"/>
  <c r="AI185" i="1"/>
  <c r="CX240" i="1"/>
  <c r="AN89" i="1"/>
  <c r="AU89" i="1"/>
  <c r="EI195" i="1"/>
  <c r="EM179" i="1"/>
  <c r="AD223" i="1"/>
  <c r="AC223" i="1" s="1"/>
  <c r="DE164" i="1"/>
  <c r="DI162" i="1"/>
  <c r="DU66" i="1"/>
  <c r="AR164" i="1"/>
  <c r="AZ162" i="1"/>
  <c r="AM146" i="1"/>
  <c r="AQ143" i="1"/>
  <c r="DR265" i="1"/>
  <c r="DV263" i="1"/>
  <c r="DF68" i="1"/>
  <c r="DJ67" i="1"/>
  <c r="BA111" i="1"/>
  <c r="BA113" i="1" s="1"/>
  <c r="BL111" i="1"/>
  <c r="BD111" i="1"/>
  <c r="BD113" i="1" s="1"/>
  <c r="AY113" i="1"/>
  <c r="EI251" i="1"/>
  <c r="EM251" i="1" s="1"/>
  <c r="EG251" i="1"/>
  <c r="EU251" i="1"/>
  <c r="EJ218" i="1"/>
  <c r="EV218" i="1"/>
  <c r="EH218" i="1"/>
  <c r="DF86" i="1"/>
  <c r="DB89" i="1"/>
  <c r="AM125" i="1"/>
  <c r="AQ123" i="1"/>
  <c r="DY141" i="1"/>
  <c r="DU142" i="1"/>
  <c r="AZ71" i="1"/>
  <c r="BM69" i="1"/>
  <c r="BE69" i="1"/>
  <c r="BE71" i="1" s="1"/>
  <c r="AQ228" i="1"/>
  <c r="AY226" i="1"/>
  <c r="DI56" i="1"/>
  <c r="DM54" i="1"/>
  <c r="AR142" i="1"/>
  <c r="AZ140" i="1"/>
  <c r="AQ91" i="1"/>
  <c r="AM93" i="1"/>
  <c r="DZ241" i="1"/>
  <c r="DE34" i="1"/>
  <c r="DA36" i="1"/>
  <c r="BM60" i="1"/>
  <c r="BE60" i="1"/>
  <c r="BE62" i="1" s="1"/>
  <c r="AZ62" i="1"/>
  <c r="BM217" i="1"/>
  <c r="BR215" i="1"/>
  <c r="BR217" i="1" s="1"/>
  <c r="AM104" i="1"/>
  <c r="AQ102" i="1"/>
  <c r="DE168" i="1"/>
  <c r="DI167" i="1"/>
  <c r="DA250" i="1"/>
  <c r="CW253" i="1"/>
  <c r="CW262" i="1" s="1"/>
  <c r="BR67" i="1"/>
  <c r="BV67" i="1" s="1"/>
  <c r="BV68" i="1" s="1"/>
  <c r="BN67" i="1"/>
  <c r="AZ146" i="1"/>
  <c r="BM143" i="1"/>
  <c r="BE143" i="1"/>
  <c r="BE146" i="1" s="1"/>
  <c r="DN54" i="1"/>
  <c r="DJ56" i="1"/>
  <c r="DR210" i="1"/>
  <c r="ED210" i="1"/>
  <c r="AZ184" i="1"/>
  <c r="BM181" i="1"/>
  <c r="BE181" i="1"/>
  <c r="BE184" i="1" s="1"/>
  <c r="DN33" i="1"/>
  <c r="DR30" i="1"/>
  <c r="BP79" i="1"/>
  <c r="BP89" i="1" s="1"/>
  <c r="BP310" i="1" s="1"/>
  <c r="BT78" i="1"/>
  <c r="DR11" i="1"/>
  <c r="DN13" i="1"/>
  <c r="ED11" i="1"/>
  <c r="DU98" i="1"/>
  <c r="DY96" i="1"/>
  <c r="AR179" i="1"/>
  <c r="AZ177" i="1"/>
  <c r="DF191" i="1"/>
  <c r="DJ189" i="1"/>
  <c r="AM62" i="1"/>
  <c r="AQ60" i="1"/>
  <c r="AR85" i="1"/>
  <c r="AZ83" i="1"/>
  <c r="DE68" i="1"/>
  <c r="DI67" i="1"/>
  <c r="BN94" i="1"/>
  <c r="BQ94" i="1"/>
  <c r="BU94" i="1" s="1"/>
  <c r="AZ82" i="1"/>
  <c r="BM80" i="1"/>
  <c r="BE80" i="1"/>
  <c r="BE82" i="1" s="1"/>
  <c r="DU52" i="1"/>
  <c r="DY50" i="1"/>
  <c r="AQ80" i="1"/>
  <c r="AM82" i="1"/>
  <c r="AQ139" i="1"/>
  <c r="AY137" i="1"/>
  <c r="EJ179" i="1"/>
  <c r="EN177" i="1"/>
  <c r="EN179" i="1" s="1"/>
  <c r="AR160" i="1"/>
  <c r="AZ159" i="1"/>
  <c r="BE249" i="1"/>
  <c r="BE253" i="1" s="1"/>
  <c r="AZ253" i="1"/>
  <c r="BM249" i="1"/>
  <c r="DF227" i="1"/>
  <c r="DB228" i="1"/>
  <c r="BQ295" i="1"/>
  <c r="BU295" i="1" s="1"/>
  <c r="BN295" i="1"/>
  <c r="DH107" i="1"/>
  <c r="DH135" i="1" s="1"/>
  <c r="BR226" i="1"/>
  <c r="BR228" i="1" s="1"/>
  <c r="BM228" i="1"/>
  <c r="AQ10" i="1"/>
  <c r="AY8" i="1"/>
  <c r="BQ130" i="1"/>
  <c r="BN130" i="1"/>
  <c r="BR234" i="1"/>
  <c r="BV234" i="1" s="1"/>
  <c r="BN234" i="1"/>
  <c r="EJ93" i="1"/>
  <c r="EN91" i="1"/>
  <c r="EN93" i="1" s="1"/>
  <c r="BN194" i="1"/>
  <c r="BQ194" i="1"/>
  <c r="BU194" i="1" s="1"/>
  <c r="DF101" i="1"/>
  <c r="DJ99" i="1"/>
  <c r="AM160" i="1"/>
  <c r="AQ159" i="1"/>
  <c r="DQ24" i="1"/>
  <c r="DQ26" i="1" s="1"/>
  <c r="DU17" i="1"/>
  <c r="DU24" i="1" s="1"/>
  <c r="DU26" i="1" s="1"/>
  <c r="DM225" i="1"/>
  <c r="DQ224" i="1"/>
  <c r="AQ50" i="1"/>
  <c r="AM52" i="1"/>
  <c r="DF160" i="1"/>
  <c r="DJ159" i="1"/>
  <c r="DE256" i="1"/>
  <c r="DI255" i="1"/>
  <c r="BR208" i="1"/>
  <c r="BR209" i="1" s="1"/>
  <c r="BM209" i="1"/>
  <c r="AY266" i="1"/>
  <c r="BR233" i="1"/>
  <c r="BM235" i="1"/>
  <c r="DM138" i="1"/>
  <c r="DI139" i="1"/>
  <c r="DZ309" i="1"/>
  <c r="DE85" i="1"/>
  <c r="DI83" i="1"/>
  <c r="AQ134" i="1"/>
  <c r="AY132" i="1"/>
  <c r="DE102" i="1"/>
  <c r="DA104" i="1"/>
  <c r="EN66" i="1"/>
  <c r="DF213" i="1"/>
  <c r="DJ212" i="1"/>
  <c r="DR243" i="1"/>
  <c r="DN248" i="1"/>
  <c r="BR66" i="1"/>
  <c r="BM68" i="1"/>
  <c r="EN239" i="1"/>
  <c r="EV250" i="1"/>
  <c r="EJ250" i="1"/>
  <c r="EN250" i="1" s="1"/>
  <c r="EH250" i="1"/>
  <c r="BN299" i="1"/>
  <c r="BQ299" i="1"/>
  <c r="DG265" i="1"/>
  <c r="AD135" i="1"/>
  <c r="AC135" i="1" s="1"/>
  <c r="AD262" i="1"/>
  <c r="AC262" i="1" s="1"/>
  <c r="EM195" i="1"/>
  <c r="AI223" i="1"/>
  <c r="AI310" i="1" s="1"/>
  <c r="AU223" i="1"/>
  <c r="AN310" i="1" l="1"/>
  <c r="AK324" i="1" s="1"/>
  <c r="DB240" i="1"/>
  <c r="AG310" i="1"/>
  <c r="AQ187" i="1"/>
  <c r="AY186" i="1"/>
  <c r="DJ167" i="1"/>
  <c r="DF168" i="1"/>
  <c r="AM262" i="1"/>
  <c r="AR135" i="1"/>
  <c r="AR89" i="1"/>
  <c r="AU310" i="1"/>
  <c r="DE64" i="1"/>
  <c r="DA65" i="1"/>
  <c r="DA89" i="1" s="1"/>
  <c r="BR68" i="1"/>
  <c r="CX310" i="1"/>
  <c r="AM223" i="1"/>
  <c r="DI189" i="1"/>
  <c r="DE191" i="1"/>
  <c r="DE223" i="1" s="1"/>
  <c r="AM89" i="1"/>
  <c r="DA135" i="1"/>
  <c r="AD89" i="1"/>
  <c r="AC89" i="1" s="1"/>
  <c r="EH123" i="1"/>
  <c r="EH125" i="1" s="1"/>
  <c r="EJ123" i="1"/>
  <c r="ED125" i="1"/>
  <c r="EV125" i="1" s="1"/>
  <c r="EV123" i="1"/>
  <c r="DV123" i="1"/>
  <c r="DV125" i="1" s="1"/>
  <c r="DR125" i="1"/>
  <c r="AY236" i="1"/>
  <c r="AQ238" i="1"/>
  <c r="AQ240" i="1" s="1"/>
  <c r="DJ215" i="1"/>
  <c r="DF217" i="1"/>
  <c r="AR185" i="1"/>
  <c r="AM135" i="1"/>
  <c r="AY99" i="1"/>
  <c r="AQ101" i="1"/>
  <c r="EU70" i="1"/>
  <c r="EG70" i="1"/>
  <c r="EI70" i="1"/>
  <c r="EM70" i="1" s="1"/>
  <c r="DU37" i="1"/>
  <c r="DQ39" i="1"/>
  <c r="DH310" i="1"/>
  <c r="CW310" i="1"/>
  <c r="EC10" i="1"/>
  <c r="EU10" i="1" s="1"/>
  <c r="EI8" i="1"/>
  <c r="EU8" i="1"/>
  <c r="EG8" i="1"/>
  <c r="EG10" i="1" s="1"/>
  <c r="DE235" i="1"/>
  <c r="DE240" i="1" s="1"/>
  <c r="DI233" i="1"/>
  <c r="BV78" i="1"/>
  <c r="BT79" i="1"/>
  <c r="BT89" i="1" s="1"/>
  <c r="BT310" i="1" s="1"/>
  <c r="DQ54" i="1"/>
  <c r="DM56" i="1"/>
  <c r="EC141" i="1"/>
  <c r="DY142" i="1"/>
  <c r="DF89" i="1"/>
  <c r="DJ86" i="1"/>
  <c r="DN67" i="1"/>
  <c r="DJ68" i="1"/>
  <c r="DY66" i="1"/>
  <c r="BM137" i="1"/>
  <c r="BE137" i="1"/>
  <c r="BE139" i="1" s="1"/>
  <c r="AZ139" i="1"/>
  <c r="AY30" i="1"/>
  <c r="AQ33" i="1"/>
  <c r="BA57" i="1"/>
  <c r="BA59" i="1" s="1"/>
  <c r="AY59" i="1"/>
  <c r="BL57" i="1"/>
  <c r="BD57" i="1"/>
  <c r="BD59" i="1" s="1"/>
  <c r="DR286" i="1"/>
  <c r="DR288" i="1" s="1"/>
  <c r="DV272" i="1"/>
  <c r="DV286" i="1" s="1"/>
  <c r="DV288" i="1" s="1"/>
  <c r="BM52" i="1"/>
  <c r="BR50" i="1"/>
  <c r="BR52" i="1" s="1"/>
  <c r="DM46" i="1"/>
  <c r="DI49" i="1"/>
  <c r="DN212" i="1"/>
  <c r="DJ213" i="1"/>
  <c r="DM83" i="1"/>
  <c r="DI85" i="1"/>
  <c r="DN159" i="1"/>
  <c r="DJ160" i="1"/>
  <c r="DQ225" i="1"/>
  <c r="DU224" i="1"/>
  <c r="AQ160" i="1"/>
  <c r="AY159" i="1"/>
  <c r="AY10" i="1"/>
  <c r="BL8" i="1"/>
  <c r="BA8" i="1"/>
  <c r="BA10" i="1" s="1"/>
  <c r="BD8" i="1"/>
  <c r="BD10" i="1" s="1"/>
  <c r="BM253" i="1"/>
  <c r="BR249" i="1"/>
  <c r="BR253" i="1" s="1"/>
  <c r="AZ85" i="1"/>
  <c r="BM83" i="1"/>
  <c r="BE83" i="1"/>
  <c r="BE85" i="1" s="1"/>
  <c r="DN189" i="1"/>
  <c r="DJ191" i="1"/>
  <c r="DY98" i="1"/>
  <c r="EC96" i="1"/>
  <c r="DR13" i="1"/>
  <c r="DV11" i="1"/>
  <c r="DV13" i="1" s="1"/>
  <c r="EV210" i="1"/>
  <c r="EH210" i="1"/>
  <c r="EJ210" i="1"/>
  <c r="DR54" i="1"/>
  <c r="DN56" i="1"/>
  <c r="DM167" i="1"/>
  <c r="DI168" i="1"/>
  <c r="BM62" i="1"/>
  <c r="BR60" i="1"/>
  <c r="BR62" i="1" s="1"/>
  <c r="AQ221" i="1"/>
  <c r="AY218" i="1"/>
  <c r="DF174" i="1"/>
  <c r="DJ171" i="1"/>
  <c r="BM75" i="1"/>
  <c r="BR72" i="1"/>
  <c r="BR75" i="1" s="1"/>
  <c r="AQ122" i="1"/>
  <c r="AY120" i="1"/>
  <c r="BR79" i="1"/>
  <c r="BV76" i="1"/>
  <c r="BV79" i="1" s="1"/>
  <c r="AZ168" i="1"/>
  <c r="BM166" i="1"/>
  <c r="BE166" i="1"/>
  <c r="BE168" i="1" s="1"/>
  <c r="DZ108" i="1"/>
  <c r="DV110" i="1"/>
  <c r="DQ7" i="1"/>
  <c r="DU5" i="1"/>
  <c r="DR36" i="1"/>
  <c r="DV34" i="1"/>
  <c r="BL43" i="1"/>
  <c r="BN40" i="1"/>
  <c r="BN43" i="1" s="1"/>
  <c r="BQ40" i="1"/>
  <c r="BQ43" i="1" s="1"/>
  <c r="DF235" i="1"/>
  <c r="DJ233" i="1"/>
  <c r="AY195" i="1"/>
  <c r="BA193" i="1"/>
  <c r="BA195" i="1" s="1"/>
  <c r="BD193" i="1"/>
  <c r="BD195" i="1" s="1"/>
  <c r="BL193" i="1"/>
  <c r="AZ125" i="1"/>
  <c r="BM123" i="1"/>
  <c r="BE123" i="1"/>
  <c r="BE125" i="1" s="1"/>
  <c r="EI13" i="1"/>
  <c r="EM11" i="1"/>
  <c r="EM13" i="1" s="1"/>
  <c r="EV50" i="1"/>
  <c r="EH50" i="1"/>
  <c r="EH52" i="1" s="1"/>
  <c r="ED52" i="1"/>
  <c r="EV52" i="1" s="1"/>
  <c r="EJ50" i="1"/>
  <c r="DV222" i="1"/>
  <c r="DJ122" i="1"/>
  <c r="DN120" i="1"/>
  <c r="BR132" i="1"/>
  <c r="BM134" i="1"/>
  <c r="BM65" i="1"/>
  <c r="BR63" i="1"/>
  <c r="BR65" i="1" s="1"/>
  <c r="AY239" i="1"/>
  <c r="DQ290" i="1"/>
  <c r="DU289" i="1"/>
  <c r="DU290" i="1" s="1"/>
  <c r="AY72" i="1"/>
  <c r="AQ75" i="1"/>
  <c r="DQ146" i="1"/>
  <c r="DU143" i="1"/>
  <c r="BM113" i="1"/>
  <c r="BR111" i="1"/>
  <c r="BR113" i="1" s="1"/>
  <c r="BL199" i="1"/>
  <c r="BD199" i="1"/>
  <c r="BD205" i="1" s="1"/>
  <c r="AY205" i="1"/>
  <c r="BA199" i="1"/>
  <c r="BA205" i="1" s="1"/>
  <c r="DI110" i="1"/>
  <c r="DM108" i="1"/>
  <c r="DQ57" i="1"/>
  <c r="DM59" i="1"/>
  <c r="AZ49" i="1"/>
  <c r="BM46" i="1"/>
  <c r="BE46" i="1"/>
  <c r="BE49" i="1" s="1"/>
  <c r="BM222" i="1"/>
  <c r="BE222" i="1"/>
  <c r="ED59" i="1"/>
  <c r="EV59" i="1" s="1"/>
  <c r="EJ57" i="1"/>
  <c r="EV57" i="1"/>
  <c r="EH57" i="1"/>
  <c r="EH59" i="1" s="1"/>
  <c r="EJ80" i="1"/>
  <c r="ED82" i="1"/>
  <c r="EV82" i="1" s="1"/>
  <c r="EV80" i="1"/>
  <c r="EH80" i="1"/>
  <c r="EH82" i="1" s="1"/>
  <c r="DR205" i="1"/>
  <c r="DV199" i="1"/>
  <c r="DV205" i="1" s="1"/>
  <c r="BM24" i="1"/>
  <c r="BM26" i="1" s="1"/>
  <c r="BR17" i="1"/>
  <c r="AY17" i="1"/>
  <c r="AQ24" i="1"/>
  <c r="AQ26" i="1" s="1"/>
  <c r="DU72" i="1"/>
  <c r="DQ75" i="1"/>
  <c r="ED226" i="1"/>
  <c r="ED267" i="1"/>
  <c r="DZ269" i="1"/>
  <c r="DI107" i="1"/>
  <c r="DM105" i="1"/>
  <c r="DI187" i="1"/>
  <c r="DM186" i="1"/>
  <c r="DZ138" i="1"/>
  <c r="DV139" i="1"/>
  <c r="DM242" i="1"/>
  <c r="DI248" i="1"/>
  <c r="AQ269" i="1"/>
  <c r="AQ271" i="1" s="1"/>
  <c r="AY267" i="1"/>
  <c r="DY76" i="1"/>
  <c r="DU79" i="1"/>
  <c r="EI207" i="1"/>
  <c r="EC209" i="1"/>
  <c r="EU209" i="1" s="1"/>
  <c r="EG207" i="1"/>
  <c r="EG209" i="1" s="1"/>
  <c r="EU207" i="1"/>
  <c r="DR7" i="1"/>
  <c r="DV5" i="1"/>
  <c r="DV7" i="1" s="1"/>
  <c r="DY88" i="1"/>
  <c r="AZ39" i="1"/>
  <c r="BM37" i="1"/>
  <c r="BE37" i="1"/>
  <c r="BE39" i="1" s="1"/>
  <c r="BA37" i="1"/>
  <c r="BA39" i="1" s="1"/>
  <c r="DY93" i="1"/>
  <c r="EC91" i="1"/>
  <c r="DZ115" i="1"/>
  <c r="DV117" i="1"/>
  <c r="BA261" i="1"/>
  <c r="BL261" i="1"/>
  <c r="BD261" i="1"/>
  <c r="AQ248" i="1"/>
  <c r="AY241" i="1"/>
  <c r="EJ37" i="1"/>
  <c r="EV37" i="1"/>
  <c r="EH37" i="1"/>
  <c r="EH39" i="1" s="1"/>
  <c r="ED39" i="1"/>
  <c r="EV39" i="1" s="1"/>
  <c r="DV289" i="1"/>
  <c r="DR290" i="1"/>
  <c r="DG310" i="1"/>
  <c r="DE185" i="1"/>
  <c r="DE104" i="1"/>
  <c r="DI102" i="1"/>
  <c r="BL266" i="1"/>
  <c r="BD266" i="1"/>
  <c r="BA266" i="1"/>
  <c r="AY50" i="1"/>
  <c r="AQ52" i="1"/>
  <c r="DF228" i="1"/>
  <c r="DJ227" i="1"/>
  <c r="BL137" i="1"/>
  <c r="BD137" i="1"/>
  <c r="BD139" i="1" s="1"/>
  <c r="AY139" i="1"/>
  <c r="BA137" i="1"/>
  <c r="BA139" i="1" s="1"/>
  <c r="DR33" i="1"/>
  <c r="DV30" i="1"/>
  <c r="DE250" i="1"/>
  <c r="DA253" i="1"/>
  <c r="DA262" i="1" s="1"/>
  <c r="ED241" i="1"/>
  <c r="BM140" i="1"/>
  <c r="BE140" i="1"/>
  <c r="BE142" i="1" s="1"/>
  <c r="AZ142" i="1"/>
  <c r="AY228" i="1"/>
  <c r="BA226" i="1"/>
  <c r="BA228" i="1" s="1"/>
  <c r="BL226" i="1"/>
  <c r="BD226" i="1"/>
  <c r="BD228" i="1" s="1"/>
  <c r="BL113" i="1"/>
  <c r="BQ111" i="1"/>
  <c r="BN111" i="1"/>
  <c r="BN113" i="1" s="1"/>
  <c r="DV265" i="1"/>
  <c r="DZ263" i="1"/>
  <c r="BM162" i="1"/>
  <c r="BE162" i="1"/>
  <c r="BE164" i="1" s="1"/>
  <c r="AZ164" i="1"/>
  <c r="DI164" i="1"/>
  <c r="DM162" i="1"/>
  <c r="AY63" i="1"/>
  <c r="AQ65" i="1"/>
  <c r="EC26" i="1"/>
  <c r="EU26" i="1" s="1"/>
  <c r="EU24" i="1"/>
  <c r="DE62" i="1"/>
  <c r="DI60" i="1"/>
  <c r="DM260" i="1"/>
  <c r="DQ257" i="1"/>
  <c r="EC249" i="1"/>
  <c r="DQ249" i="1"/>
  <c r="DI156" i="1"/>
  <c r="DM147" i="1"/>
  <c r="DF156" i="1"/>
  <c r="DJ147" i="1"/>
  <c r="DM215" i="1"/>
  <c r="DI217" i="1"/>
  <c r="DQ33" i="1"/>
  <c r="DU30" i="1"/>
  <c r="DN207" i="1"/>
  <c r="DJ209" i="1"/>
  <c r="BR7" i="1"/>
  <c r="BV5" i="1"/>
  <c r="BV7" i="1" s="1"/>
  <c r="DN102" i="1"/>
  <c r="DJ104" i="1"/>
  <c r="EV17" i="1"/>
  <c r="EH17" i="1"/>
  <c r="EH24" i="1" s="1"/>
  <c r="EH26" i="1" s="1"/>
  <c r="ED24" i="1"/>
  <c r="EJ17" i="1"/>
  <c r="DU266" i="1"/>
  <c r="DU80" i="1"/>
  <c r="DQ82" i="1"/>
  <c r="AQ209" i="1"/>
  <c r="AY207" i="1"/>
  <c r="DM118" i="1"/>
  <c r="AQ174" i="1"/>
  <c r="AY171" i="1"/>
  <c r="DF221" i="1"/>
  <c r="DF223" i="1" s="1"/>
  <c r="DJ220" i="1"/>
  <c r="BL68" i="1"/>
  <c r="BN66" i="1"/>
  <c r="BN68" i="1" s="1"/>
  <c r="BQ66" i="1"/>
  <c r="DR16" i="1"/>
  <c r="DV14" i="1"/>
  <c r="EC199" i="1"/>
  <c r="DY205" i="1"/>
  <c r="BM265" i="1"/>
  <c r="BR263" i="1"/>
  <c r="BR265" i="1" s="1"/>
  <c r="EV249" i="1"/>
  <c r="EH249" i="1"/>
  <c r="EJ249" i="1"/>
  <c r="AQ217" i="1"/>
  <c r="AY215" i="1"/>
  <c r="DA265" i="1"/>
  <c r="DE263" i="1"/>
  <c r="DZ134" i="1"/>
  <c r="ED132" i="1"/>
  <c r="DR59" i="1"/>
  <c r="DV57" i="1"/>
  <c r="DV59" i="1" s="1"/>
  <c r="AY108" i="1"/>
  <c r="AQ110" i="1"/>
  <c r="DR82" i="1"/>
  <c r="DV80" i="1"/>
  <c r="DV82" i="1" s="1"/>
  <c r="BM13" i="1"/>
  <c r="BR11" i="1"/>
  <c r="DN298" i="1"/>
  <c r="DJ308" i="1"/>
  <c r="DY239" i="1"/>
  <c r="ED88" i="1"/>
  <c r="BM93" i="1"/>
  <c r="BR91" i="1"/>
  <c r="BR93" i="1" s="1"/>
  <c r="DQ209" i="1"/>
  <c r="DU207" i="1"/>
  <c r="DU209" i="1" s="1"/>
  <c r="DM182" i="1"/>
  <c r="DI184" i="1"/>
  <c r="BR236" i="1"/>
  <c r="BR238" i="1" s="1"/>
  <c r="BM238" i="1"/>
  <c r="ED96" i="1"/>
  <c r="DR96" i="1"/>
  <c r="DN98" i="1"/>
  <c r="DR255" i="1"/>
  <c r="DN256" i="1"/>
  <c r="BR99" i="1"/>
  <c r="BM101" i="1"/>
  <c r="DM86" i="1"/>
  <c r="DQ113" i="1"/>
  <c r="DU111" i="1"/>
  <c r="DU113" i="1" s="1"/>
  <c r="BL257" i="1"/>
  <c r="BD257" i="1"/>
  <c r="BD260" i="1" s="1"/>
  <c r="BA257" i="1"/>
  <c r="BA260" i="1" s="1"/>
  <c r="AY260" i="1"/>
  <c r="BR267" i="1"/>
  <c r="BM269" i="1"/>
  <c r="AR310" i="1"/>
  <c r="BA83" i="1"/>
  <c r="BA85" i="1" s="1"/>
  <c r="ED309" i="1"/>
  <c r="DV243" i="1"/>
  <c r="DR248" i="1"/>
  <c r="DQ138" i="1"/>
  <c r="EC138" i="1"/>
  <c r="DM139" i="1"/>
  <c r="BM159" i="1"/>
  <c r="BE159" i="1"/>
  <c r="BE160" i="1" s="1"/>
  <c r="AZ160" i="1"/>
  <c r="DY52" i="1"/>
  <c r="EC50" i="1"/>
  <c r="AY134" i="1"/>
  <c r="BA132" i="1"/>
  <c r="BA134" i="1" s="1"/>
  <c r="BL132" i="1"/>
  <c r="BD132" i="1"/>
  <c r="BD134" i="1" s="1"/>
  <c r="DI256" i="1"/>
  <c r="DM255" i="1"/>
  <c r="DJ101" i="1"/>
  <c r="DN99" i="1"/>
  <c r="AY80" i="1"/>
  <c r="AQ82" i="1"/>
  <c r="BR80" i="1"/>
  <c r="BR82" i="1" s="1"/>
  <c r="BM82" i="1"/>
  <c r="DM67" i="1"/>
  <c r="DI68" i="1"/>
  <c r="AQ62" i="1"/>
  <c r="AY60" i="1"/>
  <c r="BM177" i="1"/>
  <c r="BE177" i="1"/>
  <c r="BE179" i="1" s="1"/>
  <c r="AZ179" i="1"/>
  <c r="EV11" i="1"/>
  <c r="EH11" i="1"/>
  <c r="EH13" i="1" s="1"/>
  <c r="ED13" i="1"/>
  <c r="EV13" i="1" s="1"/>
  <c r="EJ11" i="1"/>
  <c r="BM184" i="1"/>
  <c r="BR181" i="1"/>
  <c r="BR184" i="1" s="1"/>
  <c r="DV210" i="1"/>
  <c r="BR143" i="1"/>
  <c r="BR146" i="1" s="1"/>
  <c r="BM146" i="1"/>
  <c r="AQ104" i="1"/>
  <c r="AY102" i="1"/>
  <c r="DE36" i="1"/>
  <c r="DI34" i="1"/>
  <c r="AY91" i="1"/>
  <c r="AQ93" i="1"/>
  <c r="BM71" i="1"/>
  <c r="BR69" i="1"/>
  <c r="BR71" i="1" s="1"/>
  <c r="AQ125" i="1"/>
  <c r="AY123" i="1"/>
  <c r="DM299" i="1"/>
  <c r="DI308" i="1"/>
  <c r="DM159" i="1"/>
  <c r="DI160" i="1"/>
  <c r="DI238" i="1"/>
  <c r="DM236" i="1"/>
  <c r="DU181" i="1"/>
  <c r="EM17" i="1"/>
  <c r="EM24" i="1" s="1"/>
  <c r="EM26" i="1" s="1"/>
  <c r="EI24" i="1"/>
  <c r="EI26" i="1" s="1"/>
  <c r="ED286" i="1"/>
  <c r="EV272" i="1"/>
  <c r="EJ272" i="1"/>
  <c r="EH272" i="1"/>
  <c r="EH286" i="1" s="1"/>
  <c r="EH288" i="1" s="1"/>
  <c r="AY142" i="1"/>
  <c r="BD140" i="1"/>
  <c r="BD142" i="1" s="1"/>
  <c r="BL140" i="1"/>
  <c r="BA140" i="1"/>
  <c r="BA142" i="1" s="1"/>
  <c r="AY107" i="1"/>
  <c r="BA105" i="1"/>
  <c r="BA107" i="1" s="1"/>
  <c r="BD105" i="1"/>
  <c r="BD107" i="1" s="1"/>
  <c r="BL105" i="1"/>
  <c r="AY263" i="1"/>
  <c r="AQ265" i="1"/>
  <c r="DE122" i="1"/>
  <c r="DI120" i="1"/>
  <c r="DY133" i="1"/>
  <c r="DU134" i="1"/>
  <c r="EC241" i="1"/>
  <c r="BR147" i="1"/>
  <c r="BM156" i="1"/>
  <c r="BM213" i="1"/>
  <c r="BR210" i="1"/>
  <c r="BR213" i="1" s="1"/>
  <c r="BA5" i="1"/>
  <c r="BA7" i="1" s="1"/>
  <c r="BD5" i="1"/>
  <c r="BD7" i="1" s="1"/>
  <c r="AY7" i="1"/>
  <c r="BL5" i="1"/>
  <c r="AY302" i="1"/>
  <c r="AQ308" i="1"/>
  <c r="DZ46" i="1"/>
  <c r="DV49" i="1"/>
  <c r="BQ254" i="1"/>
  <c r="BQ256" i="1" s="1"/>
  <c r="BN254" i="1"/>
  <c r="BN256" i="1" s="1"/>
  <c r="BL256" i="1"/>
  <c r="BM195" i="1"/>
  <c r="BR193" i="1"/>
  <c r="AY181" i="1"/>
  <c r="AQ184" i="1"/>
  <c r="DJ260" i="1"/>
  <c r="DN257" i="1"/>
  <c r="AQ29" i="1"/>
  <c r="AY27" i="1"/>
  <c r="DE269" i="1"/>
  <c r="DE271" i="1" s="1"/>
  <c r="DI267" i="1"/>
  <c r="BM266" i="1"/>
  <c r="BE266" i="1"/>
  <c r="BE271" i="1" s="1"/>
  <c r="AZ271" i="1"/>
  <c r="BL177" i="1"/>
  <c r="BD177" i="1"/>
  <c r="BD179" i="1" s="1"/>
  <c r="AY179" i="1"/>
  <c r="BA177" i="1"/>
  <c r="BA179" i="1" s="1"/>
  <c r="DQ213" i="1"/>
  <c r="DU210" i="1"/>
  <c r="DM171" i="1"/>
  <c r="DI174" i="1"/>
  <c r="DR52" i="1"/>
  <c r="DV50" i="1"/>
  <c r="DV52" i="1" s="1"/>
  <c r="DM227" i="1"/>
  <c r="DI228" i="1"/>
  <c r="ED186" i="1"/>
  <c r="DR186" i="1"/>
  <c r="DN187" i="1"/>
  <c r="BR43" i="1"/>
  <c r="BV40" i="1"/>
  <c r="BV43" i="1" s="1"/>
  <c r="DB107" i="1"/>
  <c r="DB135" i="1" s="1"/>
  <c r="DB310" i="1" s="1"/>
  <c r="DF105" i="1"/>
  <c r="DU125" i="1"/>
  <c r="DY123" i="1"/>
  <c r="BL98" i="1"/>
  <c r="BQ96" i="1"/>
  <c r="BN96" i="1"/>
  <c r="BN98" i="1" s="1"/>
  <c r="ED224" i="1"/>
  <c r="DZ225" i="1"/>
  <c r="DN83" i="1"/>
  <c r="DJ85" i="1"/>
  <c r="BM260" i="1"/>
  <c r="BR257" i="1"/>
  <c r="BR260" i="1" s="1"/>
  <c r="AY289" i="1"/>
  <c r="AQ290" i="1"/>
  <c r="BL233" i="1"/>
  <c r="BD233" i="1"/>
  <c r="BD235" i="1" s="1"/>
  <c r="AY235" i="1"/>
  <c r="BA233" i="1"/>
  <c r="BA235" i="1" s="1"/>
  <c r="BM171" i="1"/>
  <c r="BE171" i="1"/>
  <c r="BE174" i="1" s="1"/>
  <c r="AZ174" i="1"/>
  <c r="EJ72" i="1"/>
  <c r="ED75" i="1"/>
  <c r="EV75" i="1" s="1"/>
  <c r="EV72" i="1"/>
  <c r="EH72" i="1"/>
  <c r="EH75" i="1" s="1"/>
  <c r="AY16" i="1"/>
  <c r="BA14" i="1"/>
  <c r="BA16" i="1" s="1"/>
  <c r="BL14" i="1"/>
  <c r="BD14" i="1"/>
  <c r="BD16" i="1" s="1"/>
  <c r="EI29" i="1"/>
  <c r="EM27" i="1"/>
  <c r="EM29" i="1" s="1"/>
  <c r="DZ141" i="1"/>
  <c r="DV142" i="1"/>
  <c r="DE101" i="1"/>
  <c r="DI99" i="1"/>
  <c r="DN252" i="1"/>
  <c r="DJ253" i="1"/>
  <c r="AY69" i="1"/>
  <c r="AQ71" i="1"/>
  <c r="EC166" i="1"/>
  <c r="AQ253" i="1"/>
  <c r="AQ262" i="1" s="1"/>
  <c r="AY249" i="1"/>
  <c r="DI286" i="1"/>
  <c r="DI288" i="1" s="1"/>
  <c r="DM272" i="1"/>
  <c r="BM191" i="1"/>
  <c r="BR188" i="1"/>
  <c r="BR191" i="1" s="1"/>
  <c r="DN236" i="1"/>
  <c r="DJ238" i="1"/>
  <c r="DY40" i="1"/>
  <c r="DU43" i="1"/>
  <c r="AZ221" i="1"/>
  <c r="AZ223" i="1" s="1"/>
  <c r="BM218" i="1"/>
  <c r="BE218" i="1"/>
  <c r="BE221" i="1" s="1"/>
  <c r="DU117" i="1"/>
  <c r="DY115" i="1"/>
  <c r="AZ122" i="1"/>
  <c r="BM120" i="1"/>
  <c r="BE120" i="1"/>
  <c r="BE122" i="1" s="1"/>
  <c r="DY307" i="1"/>
  <c r="BM117" i="1"/>
  <c r="BR115" i="1"/>
  <c r="BR117" i="1" s="1"/>
  <c r="BM56" i="1"/>
  <c r="BR53" i="1"/>
  <c r="BR56" i="1" s="1"/>
  <c r="AY79" i="1"/>
  <c r="BA76" i="1"/>
  <c r="BA79" i="1" s="1"/>
  <c r="BL76" i="1"/>
  <c r="BD76" i="1"/>
  <c r="BD79" i="1" s="1"/>
  <c r="ED261" i="1"/>
  <c r="DR261" i="1"/>
  <c r="AY156" i="1"/>
  <c r="BA147" i="1"/>
  <c r="BA156" i="1" s="1"/>
  <c r="BL147" i="1"/>
  <c r="BD147" i="1"/>
  <c r="BD156" i="1" s="1"/>
  <c r="DR79" i="1"/>
  <c r="DV76" i="1"/>
  <c r="DI261" i="1"/>
  <c r="BM98" i="1"/>
  <c r="BR96" i="1"/>
  <c r="BR98" i="1" s="1"/>
  <c r="DJ271" i="1"/>
  <c r="DN266" i="1"/>
  <c r="DZ40" i="1"/>
  <c r="DV43" i="1"/>
  <c r="AZ29" i="1"/>
  <c r="BM27" i="1"/>
  <c r="BE27" i="1"/>
  <c r="BE29" i="1" s="1"/>
  <c r="BM102" i="1"/>
  <c r="BE102" i="1"/>
  <c r="BE104" i="1" s="1"/>
  <c r="AZ104" i="1"/>
  <c r="DR39" i="1"/>
  <c r="DV37" i="1"/>
  <c r="DV39" i="1" s="1"/>
  <c r="BR235" i="1"/>
  <c r="BV233" i="1"/>
  <c r="BV235" i="1" s="1"/>
  <c r="BV240" i="1" s="1"/>
  <c r="EN218" i="1"/>
  <c r="AQ146" i="1"/>
  <c r="AY143" i="1"/>
  <c r="AY188" i="1"/>
  <c r="AQ191" i="1"/>
  <c r="AY168" i="1"/>
  <c r="BA166" i="1"/>
  <c r="BA168" i="1" s="1"/>
  <c r="BL166" i="1"/>
  <c r="BD166" i="1"/>
  <c r="BD168" i="1" s="1"/>
  <c r="DN70" i="1"/>
  <c r="DJ71" i="1"/>
  <c r="DR24" i="1"/>
  <c r="DR26" i="1" s="1"/>
  <c r="DV17" i="1"/>
  <c r="DV24" i="1" s="1"/>
  <c r="DV26" i="1" s="1"/>
  <c r="BR107" i="1"/>
  <c r="BV105" i="1"/>
  <c r="BV107" i="1" s="1"/>
  <c r="EJ222" i="1"/>
  <c r="EV222" i="1"/>
  <c r="EH222" i="1"/>
  <c r="BL34" i="1"/>
  <c r="BD34" i="1"/>
  <c r="BD36" i="1" s="1"/>
  <c r="AY36" i="1"/>
  <c r="BA34" i="1"/>
  <c r="BA36" i="1" s="1"/>
  <c r="EU289" i="1"/>
  <c r="EG289" i="1"/>
  <c r="EG290" i="1" s="1"/>
  <c r="EC290" i="1"/>
  <c r="EU290" i="1" s="1"/>
  <c r="EI289" i="1"/>
  <c r="BL85" i="1"/>
  <c r="BN83" i="1"/>
  <c r="BN85" i="1" s="1"/>
  <c r="BQ83" i="1"/>
  <c r="AQ13" i="1"/>
  <c r="AY11" i="1"/>
  <c r="AQ56" i="1"/>
  <c r="AY53" i="1"/>
  <c r="DR75" i="1"/>
  <c r="DV72" i="1"/>
  <c r="DV75" i="1" s="1"/>
  <c r="AQ49" i="1"/>
  <c r="AY46" i="1"/>
  <c r="DV249" i="1"/>
  <c r="AY222" i="1"/>
  <c r="AY210" i="1"/>
  <c r="AQ213" i="1"/>
  <c r="ED205" i="1"/>
  <c r="EV205" i="1" s="1"/>
  <c r="EV199" i="1"/>
  <c r="EH199" i="1"/>
  <c r="EH205" i="1" s="1"/>
  <c r="EJ199" i="1"/>
  <c r="BM110" i="1"/>
  <c r="BR108" i="1"/>
  <c r="BR110" i="1" s="1"/>
  <c r="DM71" i="1"/>
  <c r="DQ69" i="1"/>
  <c r="EC69" i="1"/>
  <c r="DV69" i="1"/>
  <c r="AZ240" i="1"/>
  <c r="BM239" i="1"/>
  <c r="BE239" i="1"/>
  <c r="BE240" i="1" s="1"/>
  <c r="AZ248" i="1"/>
  <c r="AZ262" i="1" s="1"/>
  <c r="BM241" i="1"/>
  <c r="BE241" i="1"/>
  <c r="BE248" i="1" s="1"/>
  <c r="BE262" i="1" s="1"/>
  <c r="AY115" i="1"/>
  <c r="AQ117" i="1"/>
  <c r="EC226" i="1"/>
  <c r="DV62" i="1"/>
  <c r="DZ60" i="1"/>
  <c r="ED7" i="1"/>
  <c r="EV7" i="1" s="1"/>
  <c r="EV5" i="1"/>
  <c r="EJ5" i="1"/>
  <c r="EH5" i="1"/>
  <c r="EH7" i="1" s="1"/>
  <c r="DJ65" i="1"/>
  <c r="DN63" i="1"/>
  <c r="EN166" i="1"/>
  <c r="BM16" i="1"/>
  <c r="BR14" i="1"/>
  <c r="BR16" i="1" s="1"/>
  <c r="DU14" i="1"/>
  <c r="DQ16" i="1"/>
  <c r="DZ307" i="1"/>
  <c r="DM63" i="1"/>
  <c r="AQ164" i="1"/>
  <c r="AY162" i="1"/>
  <c r="EC222" i="1"/>
  <c r="DY309" i="1"/>
  <c r="EI111" i="1"/>
  <c r="EC113" i="1"/>
  <c r="EU113" i="1" s="1"/>
  <c r="EU111" i="1"/>
  <c r="EG111" i="1"/>
  <c r="EG113" i="1" s="1"/>
  <c r="AM185" i="1"/>
  <c r="DN167" i="1" l="1"/>
  <c r="DJ168" i="1"/>
  <c r="BA186" i="1"/>
  <c r="BA187" i="1" s="1"/>
  <c r="BL186" i="1"/>
  <c r="BD186" i="1"/>
  <c r="BD187" i="1" s="1"/>
  <c r="AY187" i="1"/>
  <c r="DF240" i="1"/>
  <c r="AQ135" i="1"/>
  <c r="AM310" i="1"/>
  <c r="AQ223" i="1"/>
  <c r="BE135" i="1"/>
  <c r="DM189" i="1"/>
  <c r="DI191" i="1"/>
  <c r="DI223" i="1" s="1"/>
  <c r="BE185" i="1"/>
  <c r="AD310" i="1"/>
  <c r="AC310" i="1" s="1"/>
  <c r="DI64" i="1"/>
  <c r="DE65" i="1"/>
  <c r="DE89" i="1" s="1"/>
  <c r="AZ185" i="1"/>
  <c r="DN215" i="1"/>
  <c r="DJ217" i="1"/>
  <c r="DM233" i="1"/>
  <c r="DI235" i="1"/>
  <c r="EM8" i="1"/>
  <c r="EM10" i="1" s="1"/>
  <c r="EI10" i="1"/>
  <c r="DY37" i="1"/>
  <c r="DU39" i="1"/>
  <c r="AY238" i="1"/>
  <c r="AY240" i="1" s="1"/>
  <c r="BA236" i="1"/>
  <c r="BA238" i="1" s="1"/>
  <c r="BL236" i="1"/>
  <c r="BD236" i="1"/>
  <c r="BD238" i="1" s="1"/>
  <c r="AZ135" i="1"/>
  <c r="BA99" i="1"/>
  <c r="BA101" i="1" s="1"/>
  <c r="BL99" i="1"/>
  <c r="BD99" i="1"/>
  <c r="BD101" i="1" s="1"/>
  <c r="AY101" i="1"/>
  <c r="EJ125" i="1"/>
  <c r="EN123" i="1"/>
  <c r="EN125" i="1" s="1"/>
  <c r="EJ7" i="1"/>
  <c r="EN5" i="1"/>
  <c r="EN7" i="1" s="1"/>
  <c r="EC309" i="1"/>
  <c r="AY49" i="1"/>
  <c r="BA46" i="1"/>
  <c r="BA49" i="1" s="1"/>
  <c r="BL46" i="1"/>
  <c r="BD46" i="1"/>
  <c r="BD49" i="1" s="1"/>
  <c r="BA53" i="1"/>
  <c r="BA56" i="1" s="1"/>
  <c r="BL53" i="1"/>
  <c r="BD53" i="1"/>
  <c r="BD56" i="1" s="1"/>
  <c r="AY56" i="1"/>
  <c r="BM104" i="1"/>
  <c r="BR102" i="1"/>
  <c r="BR104" i="1" s="1"/>
  <c r="BR120" i="1"/>
  <c r="BR122" i="1" s="1"/>
  <c r="BM122" i="1"/>
  <c r="DY43" i="1"/>
  <c r="EC40" i="1"/>
  <c r="EJ75" i="1"/>
  <c r="EN72" i="1"/>
  <c r="EN75" i="1" s="1"/>
  <c r="EI113" i="1"/>
  <c r="EM111" i="1"/>
  <c r="EM113" i="1" s="1"/>
  <c r="EU222" i="1"/>
  <c r="EG222" i="1"/>
  <c r="EI222" i="1"/>
  <c r="DZ69" i="1"/>
  <c r="AY213" i="1"/>
  <c r="BA210" i="1"/>
  <c r="BA213" i="1" s="1"/>
  <c r="BL210" i="1"/>
  <c r="BD210" i="1"/>
  <c r="BD213" i="1" s="1"/>
  <c r="EI290" i="1"/>
  <c r="EM289" i="1"/>
  <c r="EM290" i="1" s="1"/>
  <c r="AY146" i="1"/>
  <c r="BA143" i="1"/>
  <c r="BA146" i="1" s="1"/>
  <c r="BL143" i="1"/>
  <c r="BD143" i="1"/>
  <c r="BD146" i="1" s="1"/>
  <c r="BN147" i="1"/>
  <c r="BN156" i="1" s="1"/>
  <c r="BQ147" i="1"/>
  <c r="BL156" i="1"/>
  <c r="EJ261" i="1"/>
  <c r="EV261" i="1"/>
  <c r="EH261" i="1"/>
  <c r="BA249" i="1"/>
  <c r="BA253" i="1" s="1"/>
  <c r="BL249" i="1"/>
  <c r="BD249" i="1"/>
  <c r="BD253" i="1" s="1"/>
  <c r="AY253" i="1"/>
  <c r="DI101" i="1"/>
  <c r="DM99" i="1"/>
  <c r="BR171" i="1"/>
  <c r="BR174" i="1" s="1"/>
  <c r="BM174" i="1"/>
  <c r="BQ233" i="1"/>
  <c r="BL235" i="1"/>
  <c r="BN233" i="1"/>
  <c r="BN235" i="1" s="1"/>
  <c r="EV224" i="1"/>
  <c r="EH224" i="1"/>
  <c r="EH225" i="1" s="1"/>
  <c r="EJ224" i="1"/>
  <c r="ED225" i="1"/>
  <c r="EV225" i="1" s="1"/>
  <c r="EC123" i="1"/>
  <c r="DY125" i="1"/>
  <c r="EJ186" i="1"/>
  <c r="EV186" i="1"/>
  <c r="EH186" i="1"/>
  <c r="EH187" i="1" s="1"/>
  <c r="ED187" i="1"/>
  <c r="EV187" i="1" s="1"/>
  <c r="BL179" i="1"/>
  <c r="BN177" i="1"/>
  <c r="BN179" i="1" s="1"/>
  <c r="BQ177" i="1"/>
  <c r="DI269" i="1"/>
  <c r="DI271" i="1" s="1"/>
  <c r="DM267" i="1"/>
  <c r="DN260" i="1"/>
  <c r="DR257" i="1"/>
  <c r="ED257" i="1"/>
  <c r="BV193" i="1"/>
  <c r="BV195" i="1" s="1"/>
  <c r="BR195" i="1"/>
  <c r="BA302" i="1"/>
  <c r="BA308" i="1" s="1"/>
  <c r="BL302" i="1"/>
  <c r="BD302" i="1"/>
  <c r="BD308" i="1" s="1"/>
  <c r="AY308" i="1"/>
  <c r="BR156" i="1"/>
  <c r="BV147" i="1"/>
  <c r="BV156" i="1" s="1"/>
  <c r="BV185" i="1" s="1"/>
  <c r="EC133" i="1"/>
  <c r="DY134" i="1"/>
  <c r="BL263" i="1"/>
  <c r="BA263" i="1"/>
  <c r="BA265" i="1" s="1"/>
  <c r="AY265" i="1"/>
  <c r="BD263" i="1"/>
  <c r="BD265" i="1" s="1"/>
  <c r="ED288" i="1"/>
  <c r="EV288" i="1" s="1"/>
  <c r="EV286" i="1"/>
  <c r="DM160" i="1"/>
  <c r="DQ159" i="1"/>
  <c r="AY93" i="1"/>
  <c r="BL91" i="1"/>
  <c r="BA91" i="1"/>
  <c r="BA93" i="1" s="1"/>
  <c r="BD91" i="1"/>
  <c r="BD93" i="1" s="1"/>
  <c r="DQ255" i="1"/>
  <c r="DM256" i="1"/>
  <c r="EG138" i="1"/>
  <c r="EG139" i="1" s="1"/>
  <c r="EI138" i="1"/>
  <c r="EU138" i="1"/>
  <c r="EC139" i="1"/>
  <c r="EU139" i="1" s="1"/>
  <c r="EJ96" i="1"/>
  <c r="ED98" i="1"/>
  <c r="EV98" i="1" s="1"/>
  <c r="EV96" i="1"/>
  <c r="EH96" i="1"/>
  <c r="EH98" i="1" s="1"/>
  <c r="EC182" i="1"/>
  <c r="DQ182" i="1"/>
  <c r="DM184" i="1"/>
  <c r="AY110" i="1"/>
  <c r="BA108" i="1"/>
  <c r="BA110" i="1" s="1"/>
  <c r="BL108" i="1"/>
  <c r="BD108" i="1"/>
  <c r="BD110" i="1" s="1"/>
  <c r="EI199" i="1"/>
  <c r="EU199" i="1"/>
  <c r="EG199" i="1"/>
  <c r="EG205" i="1" s="1"/>
  <c r="EC205" i="1"/>
  <c r="EU205" i="1" s="1"/>
  <c r="BL171" i="1"/>
  <c r="BD171" i="1"/>
  <c r="BD174" i="1" s="1"/>
  <c r="AY174" i="1"/>
  <c r="BA171" i="1"/>
  <c r="BA174" i="1" s="1"/>
  <c r="AY209" i="1"/>
  <c r="BA207" i="1"/>
  <c r="BA209" i="1" s="1"/>
  <c r="BL207" i="1"/>
  <c r="BD207" i="1"/>
  <c r="BD209" i="1" s="1"/>
  <c r="DY266" i="1"/>
  <c r="DU33" i="1"/>
  <c r="DY30" i="1"/>
  <c r="DJ156" i="1"/>
  <c r="DN147" i="1"/>
  <c r="DU249" i="1"/>
  <c r="ED263" i="1"/>
  <c r="DZ265" i="1"/>
  <c r="EJ241" i="1"/>
  <c r="EV241" i="1"/>
  <c r="EH241" i="1"/>
  <c r="DV33" i="1"/>
  <c r="DZ30" i="1"/>
  <c r="DQ186" i="1"/>
  <c r="DM187" i="1"/>
  <c r="EC186" i="1"/>
  <c r="BR24" i="1"/>
  <c r="BR26" i="1" s="1"/>
  <c r="BV17" i="1"/>
  <c r="BV24" i="1" s="1"/>
  <c r="BV26" i="1" s="1"/>
  <c r="BR46" i="1"/>
  <c r="BR49" i="1" s="1"/>
  <c r="BM49" i="1"/>
  <c r="BL205" i="1"/>
  <c r="BN199" i="1"/>
  <c r="BN205" i="1" s="1"/>
  <c r="BQ199" i="1"/>
  <c r="BN193" i="1"/>
  <c r="BN195" i="1" s="1"/>
  <c r="BL195" i="1"/>
  <c r="BQ193" i="1"/>
  <c r="DJ235" i="1"/>
  <c r="DN233" i="1"/>
  <c r="BR166" i="1"/>
  <c r="BR168" i="1" s="1"/>
  <c r="BM168" i="1"/>
  <c r="DV54" i="1"/>
  <c r="DR56" i="1"/>
  <c r="BR83" i="1"/>
  <c r="BM85" i="1"/>
  <c r="AY160" i="1"/>
  <c r="BA159" i="1"/>
  <c r="BA160" i="1" s="1"/>
  <c r="BL159" i="1"/>
  <c r="BD159" i="1"/>
  <c r="BD160" i="1" s="1"/>
  <c r="BR137" i="1"/>
  <c r="BR139" i="1" s="1"/>
  <c r="BM139" i="1"/>
  <c r="DR67" i="1"/>
  <c r="DN68" i="1"/>
  <c r="EI141" i="1"/>
  <c r="EU141" i="1"/>
  <c r="EG141" i="1"/>
  <c r="EG142" i="1" s="1"/>
  <c r="EC142" i="1"/>
  <c r="EU142" i="1" s="1"/>
  <c r="AQ89" i="1"/>
  <c r="BE223" i="1"/>
  <c r="DF185" i="1"/>
  <c r="DQ63" i="1"/>
  <c r="DR63" i="1"/>
  <c r="DN65" i="1"/>
  <c r="EU226" i="1"/>
  <c r="EG226" i="1"/>
  <c r="EI226" i="1"/>
  <c r="BM248" i="1"/>
  <c r="BM262" i="1" s="1"/>
  <c r="BR241" i="1"/>
  <c r="BR248" i="1" s="1"/>
  <c r="BR262" i="1" s="1"/>
  <c r="DQ71" i="1"/>
  <c r="DU69" i="1"/>
  <c r="DU71" i="1" s="1"/>
  <c r="EJ205" i="1"/>
  <c r="EN199" i="1"/>
  <c r="EN205" i="1" s="1"/>
  <c r="BA11" i="1"/>
  <c r="BA13" i="1" s="1"/>
  <c r="AY13" i="1"/>
  <c r="BL11" i="1"/>
  <c r="BD11" i="1"/>
  <c r="BD13" i="1" s="1"/>
  <c r="BL36" i="1"/>
  <c r="BN34" i="1"/>
  <c r="BN36" i="1" s="1"/>
  <c r="BQ34" i="1"/>
  <c r="BQ36" i="1" s="1"/>
  <c r="EN222" i="1"/>
  <c r="BN166" i="1"/>
  <c r="BN168" i="1" s="1"/>
  <c r="BQ166" i="1"/>
  <c r="BL168" i="1"/>
  <c r="BA188" i="1"/>
  <c r="BA191" i="1" s="1"/>
  <c r="AY191" i="1"/>
  <c r="BL188" i="1"/>
  <c r="BD188" i="1"/>
  <c r="BD191" i="1" s="1"/>
  <c r="BM29" i="1"/>
  <c r="BR27" i="1"/>
  <c r="BR29" i="1" s="1"/>
  <c r="DR266" i="1"/>
  <c r="DN271" i="1"/>
  <c r="DM261" i="1"/>
  <c r="DV261" i="1"/>
  <c r="BN76" i="1"/>
  <c r="BN79" i="1" s="1"/>
  <c r="BL79" i="1"/>
  <c r="BQ76" i="1"/>
  <c r="EC307" i="1"/>
  <c r="DY117" i="1"/>
  <c r="EC115" i="1"/>
  <c r="ED236" i="1"/>
  <c r="DN238" i="1"/>
  <c r="DR236" i="1"/>
  <c r="EU166" i="1"/>
  <c r="EG166" i="1"/>
  <c r="EI166" i="1"/>
  <c r="DR252" i="1"/>
  <c r="DN253" i="1"/>
  <c r="DZ142" i="1"/>
  <c r="ED141" i="1"/>
  <c r="BN14" i="1"/>
  <c r="BN16" i="1" s="1"/>
  <c r="BL16" i="1"/>
  <c r="BQ14" i="1"/>
  <c r="BQ16" i="1" s="1"/>
  <c r="DV186" i="1"/>
  <c r="DV187" i="1" s="1"/>
  <c r="DR187" i="1"/>
  <c r="DU213" i="1"/>
  <c r="DY210" i="1"/>
  <c r="BM271" i="1"/>
  <c r="BR266" i="1"/>
  <c r="BA181" i="1"/>
  <c r="BA184" i="1" s="1"/>
  <c r="BL181" i="1"/>
  <c r="BD181" i="1"/>
  <c r="BD184" i="1" s="1"/>
  <c r="AY184" i="1"/>
  <c r="DY181" i="1"/>
  <c r="AY125" i="1"/>
  <c r="BL123" i="1"/>
  <c r="BD123" i="1"/>
  <c r="BD125" i="1" s="1"/>
  <c r="BA123" i="1"/>
  <c r="BA125" i="1" s="1"/>
  <c r="AY104" i="1"/>
  <c r="BA102" i="1"/>
  <c r="BA104" i="1" s="1"/>
  <c r="BL102" i="1"/>
  <c r="BD102" i="1"/>
  <c r="BD104" i="1" s="1"/>
  <c r="EN11" i="1"/>
  <c r="EN13" i="1" s="1"/>
  <c r="EJ13" i="1"/>
  <c r="BN132" i="1"/>
  <c r="BN134" i="1" s="1"/>
  <c r="BQ132" i="1"/>
  <c r="BQ134" i="1" s="1"/>
  <c r="BL134" i="1"/>
  <c r="BR101" i="1"/>
  <c r="BV99" i="1"/>
  <c r="BV101" i="1" s="1"/>
  <c r="DR98" i="1"/>
  <c r="DV96" i="1"/>
  <c r="DV98" i="1" s="1"/>
  <c r="EC239" i="1"/>
  <c r="BR13" i="1"/>
  <c r="BV11" i="1"/>
  <c r="BV13" i="1" s="1"/>
  <c r="ED134" i="1"/>
  <c r="EJ132" i="1"/>
  <c r="EV132" i="1"/>
  <c r="EH132" i="1"/>
  <c r="EH134" i="1" s="1"/>
  <c r="AY217" i="1"/>
  <c r="BA215" i="1"/>
  <c r="BA217" i="1" s="1"/>
  <c r="BL215" i="1"/>
  <c r="BD215" i="1"/>
  <c r="BD217" i="1" s="1"/>
  <c r="BQ68" i="1"/>
  <c r="BU66" i="1"/>
  <c r="BU68" i="1" s="1"/>
  <c r="DQ118" i="1"/>
  <c r="DU82" i="1"/>
  <c r="DY80" i="1"/>
  <c r="ED26" i="1"/>
  <c r="EV26" i="1" s="1"/>
  <c r="EV24" i="1"/>
  <c r="ED102" i="1"/>
  <c r="DR102" i="1"/>
  <c r="DN104" i="1"/>
  <c r="DR207" i="1"/>
  <c r="DN209" i="1"/>
  <c r="DM217" i="1"/>
  <c r="DQ215" i="1"/>
  <c r="DQ260" i="1"/>
  <c r="DU257" i="1"/>
  <c r="DQ162" i="1"/>
  <c r="DM164" i="1"/>
  <c r="BM164" i="1"/>
  <c r="BR162" i="1"/>
  <c r="BR164" i="1" s="1"/>
  <c r="BQ113" i="1"/>
  <c r="BU111" i="1"/>
  <c r="BU113" i="1" s="1"/>
  <c r="BR140" i="1"/>
  <c r="BR142" i="1" s="1"/>
  <c r="BM142" i="1"/>
  <c r="DE253" i="1"/>
  <c r="DE262" i="1" s="1"/>
  <c r="DI250" i="1"/>
  <c r="BA50" i="1"/>
  <c r="BA52" i="1" s="1"/>
  <c r="BL50" i="1"/>
  <c r="BD50" i="1"/>
  <c r="BD52" i="1" s="1"/>
  <c r="AY52" i="1"/>
  <c r="BN266" i="1"/>
  <c r="BQ266" i="1"/>
  <c r="DI104" i="1"/>
  <c r="DM102" i="1"/>
  <c r="EI209" i="1"/>
  <c r="EM207" i="1"/>
  <c r="EM209" i="1" s="1"/>
  <c r="DZ139" i="1"/>
  <c r="ED138" i="1"/>
  <c r="AY24" i="1"/>
  <c r="AY26" i="1" s="1"/>
  <c r="BA17" i="1"/>
  <c r="BA24" i="1" s="1"/>
  <c r="BA26" i="1" s="1"/>
  <c r="BL17" i="1"/>
  <c r="BD17" i="1"/>
  <c r="BD24" i="1" s="1"/>
  <c r="BD26" i="1" s="1"/>
  <c r="EJ82" i="1"/>
  <c r="EN80" i="1"/>
  <c r="EN82" i="1" s="1"/>
  <c r="DM110" i="1"/>
  <c r="DQ108" i="1"/>
  <c r="DU146" i="1"/>
  <c r="DY143" i="1"/>
  <c r="DR120" i="1"/>
  <c r="DN122" i="1"/>
  <c r="EJ52" i="1"/>
  <c r="EN50" i="1"/>
  <c r="EN52" i="1" s="1"/>
  <c r="DU7" i="1"/>
  <c r="DY5" i="1"/>
  <c r="AY122" i="1"/>
  <c r="BL120" i="1"/>
  <c r="BD120" i="1"/>
  <c r="BD122" i="1" s="1"/>
  <c r="BA120" i="1"/>
  <c r="BA122" i="1" s="1"/>
  <c r="DJ174" i="1"/>
  <c r="DJ185" i="1" s="1"/>
  <c r="DN171" i="1"/>
  <c r="EC98" i="1"/>
  <c r="EU98" i="1" s="1"/>
  <c r="EU96" i="1"/>
  <c r="EG96" i="1"/>
  <c r="EG98" i="1" s="1"/>
  <c r="EI96" i="1"/>
  <c r="DM85" i="1"/>
  <c r="DQ83" i="1"/>
  <c r="DM49" i="1"/>
  <c r="DQ46" i="1"/>
  <c r="DI185" i="1"/>
  <c r="BE89" i="1"/>
  <c r="DU16" i="1"/>
  <c r="DY14" i="1"/>
  <c r="BA115" i="1"/>
  <c r="BA117" i="1" s="1"/>
  <c r="BA135" i="1" s="1"/>
  <c r="AY117" i="1"/>
  <c r="BL115" i="1"/>
  <c r="BD115" i="1"/>
  <c r="BD117" i="1" s="1"/>
  <c r="EU69" i="1"/>
  <c r="EG69" i="1"/>
  <c r="EG71" i="1" s="1"/>
  <c r="EC71" i="1"/>
  <c r="EU71" i="1" s="1"/>
  <c r="EI69" i="1"/>
  <c r="DZ43" i="1"/>
  <c r="ED40" i="1"/>
  <c r="BR218" i="1"/>
  <c r="BM221" i="1"/>
  <c r="BM223" i="1" s="1"/>
  <c r="DM286" i="1"/>
  <c r="DM288" i="1" s="1"/>
  <c r="DQ272" i="1"/>
  <c r="BA289" i="1"/>
  <c r="BA290" i="1" s="1"/>
  <c r="AY290" i="1"/>
  <c r="BL289" i="1"/>
  <c r="BD289" i="1"/>
  <c r="BD290" i="1" s="1"/>
  <c r="DN85" i="1"/>
  <c r="DR83" i="1"/>
  <c r="BQ98" i="1"/>
  <c r="BU96" i="1"/>
  <c r="BU98" i="1" s="1"/>
  <c r="DF107" i="1"/>
  <c r="DF135" i="1" s="1"/>
  <c r="DJ105" i="1"/>
  <c r="DQ227" i="1"/>
  <c r="DM228" i="1"/>
  <c r="DQ171" i="1"/>
  <c r="DM174" i="1"/>
  <c r="AY29" i="1"/>
  <c r="BA27" i="1"/>
  <c r="BA29" i="1" s="1"/>
  <c r="BL27" i="1"/>
  <c r="BD27" i="1"/>
  <c r="BD29" i="1" s="1"/>
  <c r="DZ49" i="1"/>
  <c r="ED46" i="1"/>
  <c r="EU241" i="1"/>
  <c r="EG241" i="1"/>
  <c r="EI241" i="1"/>
  <c r="BL142" i="1"/>
  <c r="BN140" i="1"/>
  <c r="BN142" i="1" s="1"/>
  <c r="BQ140" i="1"/>
  <c r="EJ286" i="1"/>
  <c r="EJ288" i="1" s="1"/>
  <c r="EN272" i="1"/>
  <c r="EN286" i="1" s="1"/>
  <c r="EN288" i="1" s="1"/>
  <c r="DQ299" i="1"/>
  <c r="DM308" i="1"/>
  <c r="BA60" i="1"/>
  <c r="BA62" i="1" s="1"/>
  <c r="BL60" i="1"/>
  <c r="BD60" i="1"/>
  <c r="BD62" i="1" s="1"/>
  <c r="AY62" i="1"/>
  <c r="DR99" i="1"/>
  <c r="DN101" i="1"/>
  <c r="EU50" i="1"/>
  <c r="EG50" i="1"/>
  <c r="EG52" i="1" s="1"/>
  <c r="EC52" i="1"/>
  <c r="EU52" i="1" s="1"/>
  <c r="EI50" i="1"/>
  <c r="BM160" i="1"/>
  <c r="BR159" i="1"/>
  <c r="BR160" i="1" s="1"/>
  <c r="EV309" i="1"/>
  <c r="EH309" i="1"/>
  <c r="EJ309" i="1"/>
  <c r="ED298" i="1"/>
  <c r="DR298" i="1"/>
  <c r="DN308" i="1"/>
  <c r="DN220" i="1"/>
  <c r="DJ221" i="1"/>
  <c r="EN17" i="1"/>
  <c r="EN24" i="1" s="1"/>
  <c r="EN26" i="1" s="1"/>
  <c r="EJ24" i="1"/>
  <c r="EJ26" i="1" s="1"/>
  <c r="EC147" i="1"/>
  <c r="DQ147" i="1"/>
  <c r="DM156" i="1"/>
  <c r="AY65" i="1"/>
  <c r="BA63" i="1"/>
  <c r="BA65" i="1" s="1"/>
  <c r="BL63" i="1"/>
  <c r="BD63" i="1"/>
  <c r="BD65" i="1" s="1"/>
  <c r="BQ226" i="1"/>
  <c r="BQ228" i="1" s="1"/>
  <c r="BL228" i="1"/>
  <c r="BN226" i="1"/>
  <c r="BN228" i="1" s="1"/>
  <c r="DN227" i="1"/>
  <c r="DJ228" i="1"/>
  <c r="AY248" i="1"/>
  <c r="BL241" i="1"/>
  <c r="BD241" i="1"/>
  <c r="BD248" i="1" s="1"/>
  <c r="BD262" i="1" s="1"/>
  <c r="BA241" i="1"/>
  <c r="BA248" i="1" s="1"/>
  <c r="EC93" i="1"/>
  <c r="EU93" i="1" s="1"/>
  <c r="EU91" i="1"/>
  <c r="EG91" i="1"/>
  <c r="EG93" i="1" s="1"/>
  <c r="EI91" i="1"/>
  <c r="BM39" i="1"/>
  <c r="BR37" i="1"/>
  <c r="BR39" i="1" s="1"/>
  <c r="BN37" i="1"/>
  <c r="BN39" i="1" s="1"/>
  <c r="AY269" i="1"/>
  <c r="AY271" i="1" s="1"/>
  <c r="BL267" i="1"/>
  <c r="BA267" i="1"/>
  <c r="BA269" i="1" s="1"/>
  <c r="BA271" i="1" s="1"/>
  <c r="BD267" i="1"/>
  <c r="BD269" i="1" s="1"/>
  <c r="BD271" i="1" s="1"/>
  <c r="DQ105" i="1"/>
  <c r="DM107" i="1"/>
  <c r="EV226" i="1"/>
  <c r="EH226" i="1"/>
  <c r="EJ226" i="1"/>
  <c r="EJ59" i="1"/>
  <c r="EN57" i="1"/>
  <c r="EN59" i="1" s="1"/>
  <c r="DQ59" i="1"/>
  <c r="DU57" i="1"/>
  <c r="BA72" i="1"/>
  <c r="BA75" i="1" s="1"/>
  <c r="BL72" i="1"/>
  <c r="BD72" i="1"/>
  <c r="BD75" i="1" s="1"/>
  <c r="AY75" i="1"/>
  <c r="BR134" i="1"/>
  <c r="BV132" i="1"/>
  <c r="BV134" i="1" s="1"/>
  <c r="BR123" i="1"/>
  <c r="BR125" i="1" s="1"/>
  <c r="BM125" i="1"/>
  <c r="BM135" i="1" s="1"/>
  <c r="DZ110" i="1"/>
  <c r="ED108" i="1"/>
  <c r="DQ167" i="1"/>
  <c r="DM168" i="1"/>
  <c r="DN191" i="1"/>
  <c r="DR189" i="1"/>
  <c r="BL10" i="1"/>
  <c r="BN8" i="1"/>
  <c r="BN10" i="1" s="1"/>
  <c r="BQ8" i="1"/>
  <c r="DY224" i="1"/>
  <c r="DU225" i="1"/>
  <c r="EC66" i="1"/>
  <c r="DU54" i="1"/>
  <c r="DQ56" i="1"/>
  <c r="AQ185" i="1"/>
  <c r="DE135" i="1"/>
  <c r="DI240" i="1"/>
  <c r="DA310" i="1"/>
  <c r="DZ308" i="1"/>
  <c r="ED307" i="1"/>
  <c r="BM240" i="1"/>
  <c r="BR239" i="1"/>
  <c r="BR240" i="1" s="1"/>
  <c r="AY164" i="1"/>
  <c r="BA162" i="1"/>
  <c r="BA164" i="1" s="1"/>
  <c r="BL162" i="1"/>
  <c r="BD162" i="1"/>
  <c r="BD164" i="1" s="1"/>
  <c r="DZ62" i="1"/>
  <c r="ED60" i="1"/>
  <c r="BA222" i="1"/>
  <c r="BL222" i="1"/>
  <c r="BD222" i="1"/>
  <c r="BQ85" i="1"/>
  <c r="BU83" i="1"/>
  <c r="BU85" i="1" s="1"/>
  <c r="DR70" i="1"/>
  <c r="DN71" i="1"/>
  <c r="DV79" i="1"/>
  <c r="DZ76" i="1"/>
  <c r="AY71" i="1"/>
  <c r="BA69" i="1"/>
  <c r="BA71" i="1" s="1"/>
  <c r="BL69" i="1"/>
  <c r="BD69" i="1"/>
  <c r="BD71" i="1" s="1"/>
  <c r="BL7" i="1"/>
  <c r="BN5" i="1"/>
  <c r="BN7" i="1" s="1"/>
  <c r="BQ5" i="1"/>
  <c r="DI122" i="1"/>
  <c r="DM120" i="1"/>
  <c r="BN105" i="1"/>
  <c r="BN107" i="1" s="1"/>
  <c r="BL107" i="1"/>
  <c r="BQ105" i="1"/>
  <c r="BQ107" i="1" s="1"/>
  <c r="DM238" i="1"/>
  <c r="DQ236" i="1"/>
  <c r="DI36" i="1"/>
  <c r="DM34" i="1"/>
  <c r="BR177" i="1"/>
  <c r="BR179" i="1" s="1"/>
  <c r="BM179" i="1"/>
  <c r="DQ67" i="1"/>
  <c r="DM68" i="1"/>
  <c r="BL80" i="1"/>
  <c r="BD80" i="1"/>
  <c r="BD82" i="1" s="1"/>
  <c r="AY82" i="1"/>
  <c r="BA80" i="1"/>
  <c r="BA82" i="1" s="1"/>
  <c r="DU138" i="1"/>
  <c r="DU139" i="1" s="1"/>
  <c r="DQ139" i="1"/>
  <c r="DZ243" i="1"/>
  <c r="DV248" i="1"/>
  <c r="BR269" i="1"/>
  <c r="BV267" i="1"/>
  <c r="BV269" i="1" s="1"/>
  <c r="BN257" i="1"/>
  <c r="BN260" i="1" s="1"/>
  <c r="BL260" i="1"/>
  <c r="BQ257" i="1"/>
  <c r="BQ260" i="1" s="1"/>
  <c r="DQ86" i="1"/>
  <c r="DV255" i="1"/>
  <c r="DR256" i="1"/>
  <c r="EJ88" i="1"/>
  <c r="EV88" i="1"/>
  <c r="EH88" i="1"/>
  <c r="DE265" i="1"/>
  <c r="DI263" i="1"/>
  <c r="EN249" i="1"/>
  <c r="DV16" i="1"/>
  <c r="DZ14" i="1"/>
  <c r="EI249" i="1"/>
  <c r="EU249" i="1"/>
  <c r="EG249" i="1"/>
  <c r="DI62" i="1"/>
  <c r="DM60" i="1"/>
  <c r="BL139" i="1"/>
  <c r="BN137" i="1"/>
  <c r="BN139" i="1" s="1"/>
  <c r="BQ137" i="1"/>
  <c r="BQ139" i="1" s="1"/>
  <c r="DZ289" i="1"/>
  <c r="DV290" i="1"/>
  <c r="EJ39" i="1"/>
  <c r="EN37" i="1"/>
  <c r="EN39" i="1" s="1"/>
  <c r="BQ261" i="1"/>
  <c r="BN261" i="1"/>
  <c r="DZ117" i="1"/>
  <c r="ED115" i="1"/>
  <c r="EC88" i="1"/>
  <c r="DY79" i="1"/>
  <c r="EC76" i="1"/>
  <c r="DQ242" i="1"/>
  <c r="DM248" i="1"/>
  <c r="EJ267" i="1"/>
  <c r="EV267" i="1"/>
  <c r="EH267" i="1"/>
  <c r="EH269" i="1" s="1"/>
  <c r="ED269" i="1"/>
  <c r="EV269" i="1" s="1"/>
  <c r="DU75" i="1"/>
  <c r="DY72" i="1"/>
  <c r="BR222" i="1"/>
  <c r="BA239" i="1"/>
  <c r="BL239" i="1"/>
  <c r="BD239" i="1"/>
  <c r="DV36" i="1"/>
  <c r="DZ34" i="1"/>
  <c r="AY221" i="1"/>
  <c r="AY223" i="1" s="1"/>
  <c r="BA218" i="1"/>
  <c r="BA221" i="1" s="1"/>
  <c r="BL218" i="1"/>
  <c r="BD218" i="1"/>
  <c r="BD221" i="1" s="1"/>
  <c r="EN210" i="1"/>
  <c r="DR159" i="1"/>
  <c r="DN160" i="1"/>
  <c r="DR212" i="1"/>
  <c r="DN213" i="1"/>
  <c r="BQ57" i="1"/>
  <c r="BL59" i="1"/>
  <c r="BN57" i="1"/>
  <c r="BN59" i="1" s="1"/>
  <c r="AY33" i="1"/>
  <c r="BA30" i="1"/>
  <c r="BA33" i="1" s="1"/>
  <c r="BL30" i="1"/>
  <c r="BD30" i="1"/>
  <c r="BD33" i="1" s="1"/>
  <c r="DN86" i="1"/>
  <c r="DJ89" i="1"/>
  <c r="DJ262" i="1"/>
  <c r="AZ89" i="1"/>
  <c r="AQ310" i="1" l="1"/>
  <c r="AY135" i="1"/>
  <c r="BE310" i="1"/>
  <c r="DJ240" i="1"/>
  <c r="BN186" i="1"/>
  <c r="BN187" i="1" s="1"/>
  <c r="BL187" i="1"/>
  <c r="BQ186" i="1"/>
  <c r="BQ187" i="1" s="1"/>
  <c r="BD135" i="1"/>
  <c r="DR167" i="1"/>
  <c r="DN168" i="1"/>
  <c r="BA240" i="1"/>
  <c r="DJ223" i="1"/>
  <c r="DE310" i="1"/>
  <c r="DI135" i="1"/>
  <c r="BD89" i="1"/>
  <c r="BV135" i="1"/>
  <c r="AZ310" i="1"/>
  <c r="BR185" i="1"/>
  <c r="DM64" i="1"/>
  <c r="DI65" i="1"/>
  <c r="DI89" i="1" s="1"/>
  <c r="BM185" i="1"/>
  <c r="DM191" i="1"/>
  <c r="DM223" i="1" s="1"/>
  <c r="DQ189" i="1"/>
  <c r="BD240" i="1"/>
  <c r="BA262" i="1"/>
  <c r="BA89" i="1"/>
  <c r="BA223" i="1"/>
  <c r="BR135" i="1"/>
  <c r="AY262" i="1"/>
  <c r="DM235" i="1"/>
  <c r="DM240" i="1" s="1"/>
  <c r="DQ233" i="1"/>
  <c r="AY89" i="1"/>
  <c r="DF310" i="1"/>
  <c r="DR215" i="1"/>
  <c r="DN217" i="1"/>
  <c r="ED215" i="1"/>
  <c r="AY185" i="1"/>
  <c r="BQ99" i="1"/>
  <c r="BL101" i="1"/>
  <c r="BN99" i="1"/>
  <c r="BN101" i="1" s="1"/>
  <c r="BQ236" i="1"/>
  <c r="BN236" i="1"/>
  <c r="BN238" i="1" s="1"/>
  <c r="BL238" i="1"/>
  <c r="BL240" i="1" s="1"/>
  <c r="EC37" i="1"/>
  <c r="DY39" i="1"/>
  <c r="BN30" i="1"/>
  <c r="BN33" i="1" s="1"/>
  <c r="BQ30" i="1"/>
  <c r="BL33" i="1"/>
  <c r="DZ36" i="1"/>
  <c r="ED34" i="1"/>
  <c r="DV212" i="1"/>
  <c r="DR213" i="1"/>
  <c r="BN239" i="1"/>
  <c r="BQ239" i="1"/>
  <c r="DU242" i="1"/>
  <c r="DQ248" i="1"/>
  <c r="EI88" i="1"/>
  <c r="EU88" i="1"/>
  <c r="EG88" i="1"/>
  <c r="DZ255" i="1"/>
  <c r="DV256" i="1"/>
  <c r="DZ79" i="1"/>
  <c r="ED76" i="1"/>
  <c r="DY54" i="1"/>
  <c r="DU56" i="1"/>
  <c r="DV298" i="1"/>
  <c r="DV308" i="1" s="1"/>
  <c r="DR308" i="1"/>
  <c r="BU140" i="1"/>
  <c r="BU142" i="1" s="1"/>
  <c r="BQ142" i="1"/>
  <c r="BL290" i="1"/>
  <c r="BN289" i="1"/>
  <c r="BN290" i="1" s="1"/>
  <c r="BQ289" i="1"/>
  <c r="BQ290" i="1" s="1"/>
  <c r="EM96" i="1"/>
  <c r="EM98" i="1" s="1"/>
  <c r="EI98" i="1"/>
  <c r="BL122" i="1"/>
  <c r="BN120" i="1"/>
  <c r="BN122" i="1" s="1"/>
  <c r="BQ120" i="1"/>
  <c r="DY146" i="1"/>
  <c r="EC143" i="1"/>
  <c r="DQ164" i="1"/>
  <c r="DU162" i="1"/>
  <c r="DV102" i="1"/>
  <c r="DV104" i="1" s="1"/>
  <c r="DR104" i="1"/>
  <c r="DR86" i="1"/>
  <c r="DN89" i="1"/>
  <c r="DM62" i="1"/>
  <c r="DQ60" i="1"/>
  <c r="EM249" i="1"/>
  <c r="BL82" i="1"/>
  <c r="BN80" i="1"/>
  <c r="BN82" i="1" s="1"/>
  <c r="BQ80" i="1"/>
  <c r="DQ120" i="1"/>
  <c r="DM122" i="1"/>
  <c r="EC120" i="1"/>
  <c r="DV70" i="1"/>
  <c r="DR71" i="1"/>
  <c r="BN222" i="1"/>
  <c r="BQ222" i="1"/>
  <c r="DU167" i="1"/>
  <c r="DQ168" i="1"/>
  <c r="DQ107" i="1"/>
  <c r="DU105" i="1"/>
  <c r="EI93" i="1"/>
  <c r="EM91" i="1"/>
  <c r="EM93" i="1" s="1"/>
  <c r="DR101" i="1"/>
  <c r="DV99" i="1"/>
  <c r="EM241" i="1"/>
  <c r="EV46" i="1"/>
  <c r="EH46" i="1"/>
  <c r="EH49" i="1" s="1"/>
  <c r="ED49" i="1"/>
  <c r="EV49" i="1" s="1"/>
  <c r="EJ46" i="1"/>
  <c r="DQ286" i="1"/>
  <c r="DQ288" i="1" s="1"/>
  <c r="DU272" i="1"/>
  <c r="EV40" i="1"/>
  <c r="EH40" i="1"/>
  <c r="EH43" i="1" s="1"/>
  <c r="ED43" i="1"/>
  <c r="EV43" i="1" s="1"/>
  <c r="EJ40" i="1"/>
  <c r="DR122" i="1"/>
  <c r="DV120" i="1"/>
  <c r="BN17" i="1"/>
  <c r="BN24" i="1" s="1"/>
  <c r="BN26" i="1" s="1"/>
  <c r="BQ17" i="1"/>
  <c r="BL24" i="1"/>
  <c r="BL26" i="1" s="1"/>
  <c r="DM250" i="1"/>
  <c r="DI253" i="1"/>
  <c r="DI262" i="1" s="1"/>
  <c r="DQ217" i="1"/>
  <c r="DU215" i="1"/>
  <c r="DU118" i="1"/>
  <c r="BL217" i="1"/>
  <c r="BN215" i="1"/>
  <c r="BN217" i="1" s="1"/>
  <c r="BQ215" i="1"/>
  <c r="DY184" i="1"/>
  <c r="EC181" i="1"/>
  <c r="BL184" i="1"/>
  <c r="BQ181" i="1"/>
  <c r="BN181" i="1"/>
  <c r="BN184" i="1" s="1"/>
  <c r="DY213" i="1"/>
  <c r="EC210" i="1"/>
  <c r="EM166" i="1"/>
  <c r="EU307" i="1"/>
  <c r="EG307" i="1"/>
  <c r="EI307" i="1"/>
  <c r="EM226" i="1"/>
  <c r="DR65" i="1"/>
  <c r="DV63" i="1"/>
  <c r="DN235" i="1"/>
  <c r="DR233" i="1"/>
  <c r="DQ187" i="1"/>
  <c r="DU186" i="1"/>
  <c r="DU187" i="1" s="1"/>
  <c r="EJ263" i="1"/>
  <c r="ED265" i="1"/>
  <c r="EV265" i="1" s="1"/>
  <c r="EV263" i="1"/>
  <c r="EH263" i="1"/>
  <c r="EH265" i="1" s="1"/>
  <c r="BL174" i="1"/>
  <c r="BN171" i="1"/>
  <c r="BN174" i="1" s="1"/>
  <c r="BQ171" i="1"/>
  <c r="EI205" i="1"/>
  <c r="EM199" i="1"/>
  <c r="EM205" i="1" s="1"/>
  <c r="BL93" i="1"/>
  <c r="BN91" i="1"/>
  <c r="BN93" i="1" s="1"/>
  <c r="BQ91" i="1"/>
  <c r="BQ93" i="1" s="1"/>
  <c r="BN302" i="1"/>
  <c r="BN308" i="1" s="1"/>
  <c r="BQ302" i="1"/>
  <c r="BL308" i="1"/>
  <c r="ED260" i="1"/>
  <c r="EV257" i="1"/>
  <c r="EH257" i="1"/>
  <c r="EH260" i="1" s="1"/>
  <c r="EJ257" i="1"/>
  <c r="BQ235" i="1"/>
  <c r="BU233" i="1"/>
  <c r="BU235" i="1" s="1"/>
  <c r="EU40" i="1"/>
  <c r="EG40" i="1"/>
  <c r="EG43" i="1" s="1"/>
  <c r="EC43" i="1"/>
  <c r="EU43" i="1" s="1"/>
  <c r="EI40" i="1"/>
  <c r="BQ53" i="1"/>
  <c r="BL56" i="1"/>
  <c r="BN53" i="1"/>
  <c r="BN56" i="1" s="1"/>
  <c r="BM89" i="1"/>
  <c r="DR160" i="1"/>
  <c r="DV159" i="1"/>
  <c r="EJ269" i="1"/>
  <c r="EN267" i="1"/>
  <c r="EN269" i="1" s="1"/>
  <c r="DU86" i="1"/>
  <c r="DQ238" i="1"/>
  <c r="DU236" i="1"/>
  <c r="ED62" i="1"/>
  <c r="EV62" i="1" s="1"/>
  <c r="EV60" i="1"/>
  <c r="EH60" i="1"/>
  <c r="EH62" i="1" s="1"/>
  <c r="EJ60" i="1"/>
  <c r="EV307" i="1"/>
  <c r="EH307" i="1"/>
  <c r="ED308" i="1"/>
  <c r="EJ307" i="1"/>
  <c r="EI66" i="1"/>
  <c r="EU66" i="1"/>
  <c r="EG66" i="1"/>
  <c r="DY57" i="1"/>
  <c r="DU59" i="1"/>
  <c r="EN226" i="1"/>
  <c r="BN267" i="1"/>
  <c r="BN269" i="1" s="1"/>
  <c r="BL269" i="1"/>
  <c r="BL271" i="1" s="1"/>
  <c r="BQ267" i="1"/>
  <c r="EI147" i="1"/>
  <c r="EU147" i="1"/>
  <c r="EG147" i="1"/>
  <c r="EG156" i="1" s="1"/>
  <c r="EC156" i="1"/>
  <c r="EU156" i="1" s="1"/>
  <c r="DR220" i="1"/>
  <c r="DN221" i="1"/>
  <c r="DN223" i="1" s="1"/>
  <c r="EN309" i="1"/>
  <c r="EM50" i="1"/>
  <c r="EM52" i="1" s="1"/>
  <c r="EI52" i="1"/>
  <c r="BQ60" i="1"/>
  <c r="BQ62" i="1" s="1"/>
  <c r="BL62" i="1"/>
  <c r="BN60" i="1"/>
  <c r="BN62" i="1" s="1"/>
  <c r="BN27" i="1"/>
  <c r="BN29" i="1" s="1"/>
  <c r="BL29" i="1"/>
  <c r="BQ27" i="1"/>
  <c r="DQ174" i="1"/>
  <c r="DU171" i="1"/>
  <c r="BR221" i="1"/>
  <c r="BR223" i="1" s="1"/>
  <c r="BV218" i="1"/>
  <c r="BV221" i="1" s="1"/>
  <c r="BV223" i="1" s="1"/>
  <c r="BL117" i="1"/>
  <c r="BN115" i="1"/>
  <c r="BN117" i="1" s="1"/>
  <c r="BQ115" i="1"/>
  <c r="BQ117" i="1" s="1"/>
  <c r="DQ85" i="1"/>
  <c r="DU83" i="1"/>
  <c r="DY7" i="1"/>
  <c r="EC5" i="1"/>
  <c r="DQ110" i="1"/>
  <c r="DU108" i="1"/>
  <c r="EJ138" i="1"/>
  <c r="EV138" i="1"/>
  <c r="EH138" i="1"/>
  <c r="EH139" i="1" s="1"/>
  <c r="ED139" i="1"/>
  <c r="EV139" i="1" s="1"/>
  <c r="DQ102" i="1"/>
  <c r="DM104" i="1"/>
  <c r="DR209" i="1"/>
  <c r="DV207" i="1"/>
  <c r="EJ141" i="1"/>
  <c r="EH141" i="1"/>
  <c r="EH142" i="1" s="1"/>
  <c r="EV141" i="1"/>
  <c r="ED142" i="1"/>
  <c r="EV142" i="1" s="1"/>
  <c r="DR238" i="1"/>
  <c r="DV236" i="1"/>
  <c r="DV238" i="1" s="1"/>
  <c r="DQ261" i="1"/>
  <c r="EM141" i="1"/>
  <c r="EM142" i="1" s="1"/>
  <c r="EI142" i="1"/>
  <c r="DZ54" i="1"/>
  <c r="DV56" i="1"/>
  <c r="DN156" i="1"/>
  <c r="DR147" i="1"/>
  <c r="EC266" i="1"/>
  <c r="EI182" i="1"/>
  <c r="EM182" i="1" s="1"/>
  <c r="EU182" i="1"/>
  <c r="EG182" i="1"/>
  <c r="EJ98" i="1"/>
  <c r="EN96" i="1"/>
  <c r="EN98" i="1" s="1"/>
  <c r="EI133" i="1"/>
  <c r="EU133" i="1"/>
  <c r="EG133" i="1"/>
  <c r="EG134" i="1" s="1"/>
  <c r="EC134" i="1"/>
  <c r="DQ267" i="1"/>
  <c r="DM269" i="1"/>
  <c r="DM271" i="1" s="1"/>
  <c r="EJ187" i="1"/>
  <c r="EN186" i="1"/>
  <c r="EN187" i="1" s="1"/>
  <c r="EJ225" i="1"/>
  <c r="EN224" i="1"/>
  <c r="EN225" i="1" s="1"/>
  <c r="DQ99" i="1"/>
  <c r="DM101" i="1"/>
  <c r="BQ249" i="1"/>
  <c r="BQ253" i="1" s="1"/>
  <c r="BN249" i="1"/>
  <c r="BN253" i="1" s="1"/>
  <c r="BL253" i="1"/>
  <c r="EN261" i="1"/>
  <c r="BN210" i="1"/>
  <c r="BN213" i="1" s="1"/>
  <c r="BQ210" i="1"/>
  <c r="BL213" i="1"/>
  <c r="BQ46" i="1"/>
  <c r="BL49" i="1"/>
  <c r="BN46" i="1"/>
  <c r="BN49" i="1" s="1"/>
  <c r="BD223" i="1"/>
  <c r="BN271" i="1"/>
  <c r="BD185" i="1"/>
  <c r="BM310" i="1"/>
  <c r="BQ59" i="1"/>
  <c r="BU57" i="1"/>
  <c r="BU59" i="1" s="1"/>
  <c r="DY75" i="1"/>
  <c r="EC72" i="1"/>
  <c r="EV115" i="1"/>
  <c r="EH115" i="1"/>
  <c r="EH117" i="1" s="1"/>
  <c r="ED117" i="1"/>
  <c r="EV117" i="1" s="1"/>
  <c r="EJ115" i="1"/>
  <c r="DZ290" i="1"/>
  <c r="ED289" i="1"/>
  <c r="DZ16" i="1"/>
  <c r="ED14" i="1"/>
  <c r="EN88" i="1"/>
  <c r="ED243" i="1"/>
  <c r="DZ248" i="1"/>
  <c r="DU67" i="1"/>
  <c r="DQ68" i="1"/>
  <c r="BQ7" i="1"/>
  <c r="BU5" i="1"/>
  <c r="BU7" i="1" s="1"/>
  <c r="BL71" i="1"/>
  <c r="BN69" i="1"/>
  <c r="BN71" i="1" s="1"/>
  <c r="BQ69" i="1"/>
  <c r="BQ71" i="1" s="1"/>
  <c r="BL164" i="1"/>
  <c r="BN162" i="1"/>
  <c r="BN164" i="1" s="1"/>
  <c r="BQ162" i="1"/>
  <c r="BQ164" i="1" s="1"/>
  <c r="BQ10" i="1"/>
  <c r="BU8" i="1"/>
  <c r="BU10" i="1" s="1"/>
  <c r="BL248" i="1"/>
  <c r="BN241" i="1"/>
  <c r="BN248" i="1" s="1"/>
  <c r="BQ241" i="1"/>
  <c r="BN63" i="1"/>
  <c r="BN65" i="1" s="1"/>
  <c r="BQ63" i="1"/>
  <c r="BQ65" i="1" s="1"/>
  <c r="BL65" i="1"/>
  <c r="DQ156" i="1"/>
  <c r="DU147" i="1"/>
  <c r="DU156" i="1" s="1"/>
  <c r="EJ298" i="1"/>
  <c r="EN298" i="1" s="1"/>
  <c r="EV298" i="1"/>
  <c r="EH298" i="1"/>
  <c r="DU299" i="1"/>
  <c r="DQ308" i="1"/>
  <c r="DJ107" i="1"/>
  <c r="DJ135" i="1" s="1"/>
  <c r="DN105" i="1"/>
  <c r="DR85" i="1"/>
  <c r="DV83" i="1"/>
  <c r="EI71" i="1"/>
  <c r="EM69" i="1"/>
  <c r="EM71" i="1" s="1"/>
  <c r="EC14" i="1"/>
  <c r="DY16" i="1"/>
  <c r="BL52" i="1"/>
  <c r="BQ50" i="1"/>
  <c r="BQ52" i="1" s="1"/>
  <c r="BN50" i="1"/>
  <c r="BN52" i="1" s="1"/>
  <c r="DU260" i="1"/>
  <c r="DY257" i="1"/>
  <c r="EJ102" i="1"/>
  <c r="EV102" i="1"/>
  <c r="ED104" i="1"/>
  <c r="EV104" i="1" s="1"/>
  <c r="EH102" i="1"/>
  <c r="EH104" i="1" s="1"/>
  <c r="EV134" i="1"/>
  <c r="BL125" i="1"/>
  <c r="BN123" i="1"/>
  <c r="BN125" i="1" s="1"/>
  <c r="BQ123" i="1"/>
  <c r="BQ125" i="1" s="1"/>
  <c r="BR271" i="1"/>
  <c r="BV266" i="1"/>
  <c r="BV271" i="1" s="1"/>
  <c r="DV252" i="1"/>
  <c r="DR253" i="1"/>
  <c r="EC117" i="1"/>
  <c r="EU117" i="1" s="1"/>
  <c r="EI115" i="1"/>
  <c r="EG115" i="1"/>
  <c r="EG117" i="1" s="1"/>
  <c r="EU115" i="1"/>
  <c r="BQ79" i="1"/>
  <c r="BU76" i="1"/>
  <c r="BU79" i="1" s="1"/>
  <c r="DV266" i="1"/>
  <c r="DR271" i="1"/>
  <c r="BL191" i="1"/>
  <c r="BN188" i="1"/>
  <c r="BN191" i="1" s="1"/>
  <c r="BQ188" i="1"/>
  <c r="BQ168" i="1"/>
  <c r="BU166" i="1"/>
  <c r="BU168" i="1" s="1"/>
  <c r="BQ11" i="1"/>
  <c r="BL13" i="1"/>
  <c r="BN11" i="1"/>
  <c r="BN13" i="1" s="1"/>
  <c r="BQ195" i="1"/>
  <c r="BU193" i="1"/>
  <c r="BU195" i="1" s="1"/>
  <c r="EU186" i="1"/>
  <c r="EG186" i="1"/>
  <c r="EG187" i="1" s="1"/>
  <c r="EC187" i="1"/>
  <c r="EU187" i="1" s="1"/>
  <c r="EI186" i="1"/>
  <c r="BN207" i="1"/>
  <c r="BN209" i="1" s="1"/>
  <c r="BL209" i="1"/>
  <c r="BQ207" i="1"/>
  <c r="BQ209" i="1" s="1"/>
  <c r="BN108" i="1"/>
  <c r="BN110" i="1" s="1"/>
  <c r="BQ108" i="1"/>
  <c r="BQ110" i="1" s="1"/>
  <c r="BL110" i="1"/>
  <c r="DU182" i="1"/>
  <c r="DU184" i="1" s="1"/>
  <c r="DQ184" i="1"/>
  <c r="EM138" i="1"/>
  <c r="EM139" i="1" s="1"/>
  <c r="EI139" i="1"/>
  <c r="DQ160" i="1"/>
  <c r="DU159" i="1"/>
  <c r="BQ156" i="1"/>
  <c r="BU147" i="1"/>
  <c r="BU156" i="1" s="1"/>
  <c r="ED69" i="1"/>
  <c r="EI309" i="1"/>
  <c r="EU309" i="1"/>
  <c r="EG309" i="1"/>
  <c r="AY310" i="1"/>
  <c r="DN262" i="1"/>
  <c r="BQ218" i="1"/>
  <c r="BL221" i="1"/>
  <c r="BN218" i="1"/>
  <c r="BN221" i="1" s="1"/>
  <c r="EU76" i="1"/>
  <c r="EG76" i="1"/>
  <c r="EG79" i="1" s="1"/>
  <c r="EC79" i="1"/>
  <c r="EU79" i="1" s="1"/>
  <c r="EI76" i="1"/>
  <c r="DI265" i="1"/>
  <c r="DM263" i="1"/>
  <c r="DQ34" i="1"/>
  <c r="DM36" i="1"/>
  <c r="DY225" i="1"/>
  <c r="EC224" i="1"/>
  <c r="DV189" i="1"/>
  <c r="DR191" i="1"/>
  <c r="EV108" i="1"/>
  <c r="EH108" i="1"/>
  <c r="EH110" i="1" s="1"/>
  <c r="ED110" i="1"/>
  <c r="EV110" i="1" s="1"/>
  <c r="EJ108" i="1"/>
  <c r="BL75" i="1"/>
  <c r="BQ72" i="1"/>
  <c r="BN72" i="1"/>
  <c r="BN75" i="1" s="1"/>
  <c r="DR227" i="1"/>
  <c r="DN228" i="1"/>
  <c r="DU227" i="1"/>
  <c r="DQ228" i="1"/>
  <c r="DQ49" i="1"/>
  <c r="DU46" i="1"/>
  <c r="DN174" i="1"/>
  <c r="DR171" i="1"/>
  <c r="DY82" i="1"/>
  <c r="EC80" i="1"/>
  <c r="EJ134" i="1"/>
  <c r="EN132" i="1"/>
  <c r="EN134" i="1" s="1"/>
  <c r="EU239" i="1"/>
  <c r="EG239" i="1"/>
  <c r="EI239" i="1"/>
  <c r="BL104" i="1"/>
  <c r="BN102" i="1"/>
  <c r="BN104" i="1" s="1"/>
  <c r="BQ102" i="1"/>
  <c r="EJ236" i="1"/>
  <c r="EV236" i="1"/>
  <c r="EH236" i="1"/>
  <c r="EH238" i="1" s="1"/>
  <c r="ED238" i="1"/>
  <c r="DU63" i="1"/>
  <c r="DV67" i="1"/>
  <c r="DR68" i="1"/>
  <c r="BL160" i="1"/>
  <c r="BN159" i="1"/>
  <c r="BN160" i="1" s="1"/>
  <c r="BQ159" i="1"/>
  <c r="BV83" i="1"/>
  <c r="BV85" i="1" s="1"/>
  <c r="BV89" i="1" s="1"/>
  <c r="BR85" i="1"/>
  <c r="BR89" i="1" s="1"/>
  <c r="BU199" i="1"/>
  <c r="BU205" i="1" s="1"/>
  <c r="BQ205" i="1"/>
  <c r="DZ33" i="1"/>
  <c r="ED30" i="1"/>
  <c r="EN241" i="1"/>
  <c r="DY33" i="1"/>
  <c r="EC30" i="1"/>
  <c r="DQ256" i="1"/>
  <c r="DU255" i="1"/>
  <c r="BN263" i="1"/>
  <c r="BN265" i="1" s="1"/>
  <c r="BL265" i="1"/>
  <c r="BQ263" i="1"/>
  <c r="BQ265" i="1" s="1"/>
  <c r="DR260" i="1"/>
  <c r="DV257" i="1"/>
  <c r="DV260" i="1" s="1"/>
  <c r="BU177" i="1"/>
  <c r="BU179" i="1" s="1"/>
  <c r="BQ179" i="1"/>
  <c r="EI123" i="1"/>
  <c r="EC125" i="1"/>
  <c r="EU125" i="1" s="1"/>
  <c r="EU123" i="1"/>
  <c r="EG123" i="1"/>
  <c r="EG125" i="1" s="1"/>
  <c r="BQ143" i="1"/>
  <c r="BL146" i="1"/>
  <c r="BN143" i="1"/>
  <c r="BN146" i="1" s="1"/>
  <c r="EM222" i="1"/>
  <c r="BN262" i="1"/>
  <c r="BA185" i="1"/>
  <c r="DM185" i="1"/>
  <c r="DN240" i="1" l="1"/>
  <c r="BN135" i="1"/>
  <c r="DV167" i="1"/>
  <c r="DR168" i="1"/>
  <c r="BN240" i="1"/>
  <c r="DJ310" i="1"/>
  <c r="BA310" i="1"/>
  <c r="DN185" i="1"/>
  <c r="DQ191" i="1"/>
  <c r="DQ223" i="1" s="1"/>
  <c r="DU189" i="1"/>
  <c r="DQ64" i="1"/>
  <c r="DM65" i="1"/>
  <c r="DI310" i="1"/>
  <c r="BD310" i="1"/>
  <c r="DR262" i="1"/>
  <c r="BL223" i="1"/>
  <c r="EI37" i="1"/>
  <c r="EU37" i="1"/>
  <c r="EG37" i="1"/>
  <c r="EG39" i="1" s="1"/>
  <c r="EC39" i="1"/>
  <c r="EU39" i="1" s="1"/>
  <c r="BL262" i="1"/>
  <c r="ED217" i="1"/>
  <c r="EV217" i="1" s="1"/>
  <c r="EH215" i="1"/>
  <c r="EH217" i="1" s="1"/>
  <c r="EJ215" i="1"/>
  <c r="EV215" i="1"/>
  <c r="BQ101" i="1"/>
  <c r="BU99" i="1"/>
  <c r="BU101" i="1" s="1"/>
  <c r="DQ235" i="1"/>
  <c r="DU233" i="1"/>
  <c r="BL135" i="1"/>
  <c r="BQ238" i="1"/>
  <c r="BQ240" i="1" s="1"/>
  <c r="BU236" i="1"/>
  <c r="BU238" i="1" s="1"/>
  <c r="BU240" i="1" s="1"/>
  <c r="DV215" i="1"/>
  <c r="DV217" i="1" s="1"/>
  <c r="DR217" i="1"/>
  <c r="EN108" i="1"/>
  <c r="EN110" i="1" s="1"/>
  <c r="EJ110" i="1"/>
  <c r="EI14" i="1"/>
  <c r="EC16" i="1"/>
  <c r="EU16" i="1" s="1"/>
  <c r="EU14" i="1"/>
  <c r="EG14" i="1"/>
  <c r="EG16" i="1" s="1"/>
  <c r="EC33" i="1"/>
  <c r="EU33" i="1" s="1"/>
  <c r="EU30" i="1"/>
  <c r="EG30" i="1"/>
  <c r="EG33" i="1" s="1"/>
  <c r="EI30" i="1"/>
  <c r="ED33" i="1"/>
  <c r="EV33" i="1" s="1"/>
  <c r="EV30" i="1"/>
  <c r="EH30" i="1"/>
  <c r="EH33" i="1" s="1"/>
  <c r="EJ30" i="1"/>
  <c r="BQ160" i="1"/>
  <c r="BU159" i="1"/>
  <c r="BU160" i="1" s="1"/>
  <c r="DZ67" i="1"/>
  <c r="DV68" i="1"/>
  <c r="EC82" i="1"/>
  <c r="EU82" i="1" s="1"/>
  <c r="EU80" i="1"/>
  <c r="EG80" i="1"/>
  <c r="EG82" i="1" s="1"/>
  <c r="EI80" i="1"/>
  <c r="DY46" i="1"/>
  <c r="DU49" i="1"/>
  <c r="EV69" i="1"/>
  <c r="EH69" i="1"/>
  <c r="EJ69" i="1"/>
  <c r="DY159" i="1"/>
  <c r="DU160" i="1"/>
  <c r="EI187" i="1"/>
  <c r="EM186" i="1"/>
  <c r="EM187" i="1" s="1"/>
  <c r="BQ13" i="1"/>
  <c r="BU11" i="1"/>
  <c r="BU13" i="1" s="1"/>
  <c r="EI117" i="1"/>
  <c r="EM115" i="1"/>
  <c r="EM117" i="1" s="1"/>
  <c r="DZ83" i="1"/>
  <c r="DV85" i="1"/>
  <c r="EV243" i="1"/>
  <c r="EH243" i="1"/>
  <c r="EH248" i="1" s="1"/>
  <c r="EJ243" i="1"/>
  <c r="ED248" i="1"/>
  <c r="EV248" i="1" s="1"/>
  <c r="BQ213" i="1"/>
  <c r="BU210" i="1"/>
  <c r="BU213" i="1" s="1"/>
  <c r="DQ101" i="1"/>
  <c r="DU99" i="1"/>
  <c r="EU266" i="1"/>
  <c r="EG266" i="1"/>
  <c r="EI266" i="1"/>
  <c r="DV209" i="1"/>
  <c r="DZ207" i="1"/>
  <c r="DU110" i="1"/>
  <c r="DY108" i="1"/>
  <c r="DY83" i="1"/>
  <c r="DU85" i="1"/>
  <c r="DV220" i="1"/>
  <c r="DR221" i="1"/>
  <c r="EI156" i="1"/>
  <c r="EM147" i="1"/>
  <c r="EM156" i="1" s="1"/>
  <c r="EJ308" i="1"/>
  <c r="EN307" i="1"/>
  <c r="EN308" i="1" s="1"/>
  <c r="EJ62" i="1"/>
  <c r="EN60" i="1"/>
  <c r="EN62" i="1" s="1"/>
  <c r="DU238" i="1"/>
  <c r="DY236" i="1"/>
  <c r="EI43" i="1"/>
  <c r="EM40" i="1"/>
  <c r="EM43" i="1" s="1"/>
  <c r="EJ265" i="1"/>
  <c r="EN263" i="1"/>
  <c r="EN265" i="1" s="1"/>
  <c r="EU181" i="1"/>
  <c r="EG181" i="1"/>
  <c r="EG184" i="1" s="1"/>
  <c r="EC184" i="1"/>
  <c r="EI181" i="1"/>
  <c r="BQ24" i="1"/>
  <c r="BQ26" i="1" s="1"/>
  <c r="BU17" i="1"/>
  <c r="BU24" i="1" s="1"/>
  <c r="BU26" i="1" s="1"/>
  <c r="EJ43" i="1"/>
  <c r="EN40" i="1"/>
  <c r="EN43" i="1" s="1"/>
  <c r="DU286" i="1"/>
  <c r="DU288" i="1" s="1"/>
  <c r="DY272" i="1"/>
  <c r="DZ99" i="1"/>
  <c r="DV101" i="1"/>
  <c r="DY242" i="1"/>
  <c r="DU248" i="1"/>
  <c r="DQ185" i="1"/>
  <c r="BV310" i="1"/>
  <c r="BN223" i="1"/>
  <c r="DM135" i="1"/>
  <c r="BL89" i="1"/>
  <c r="DM89" i="1"/>
  <c r="EV238" i="1"/>
  <c r="BQ104" i="1"/>
  <c r="BU102" i="1"/>
  <c r="BU104" i="1" s="1"/>
  <c r="DY227" i="1"/>
  <c r="DU228" i="1"/>
  <c r="BU72" i="1"/>
  <c r="BU75" i="1" s="1"/>
  <c r="BQ75" i="1"/>
  <c r="EU224" i="1"/>
  <c r="EG224" i="1"/>
  <c r="EG225" i="1" s="1"/>
  <c r="EC225" i="1"/>
  <c r="EU225" i="1" s="1"/>
  <c r="EI224" i="1"/>
  <c r="DM265" i="1"/>
  <c r="DQ263" i="1"/>
  <c r="BU218" i="1"/>
  <c r="BU221" i="1" s="1"/>
  <c r="BQ221" i="1"/>
  <c r="BQ191" i="1"/>
  <c r="BU188" i="1"/>
  <c r="BU191" i="1" s="1"/>
  <c r="DV271" i="1"/>
  <c r="DZ266" i="1"/>
  <c r="DZ252" i="1"/>
  <c r="DV253" i="1"/>
  <c r="DV262" i="1" s="1"/>
  <c r="DY260" i="1"/>
  <c r="EC257" i="1"/>
  <c r="ED16" i="1"/>
  <c r="EV16" i="1" s="1"/>
  <c r="EV14" i="1"/>
  <c r="EH14" i="1"/>
  <c r="EH16" i="1" s="1"/>
  <c r="EJ14" i="1"/>
  <c r="EJ117" i="1"/>
  <c r="EN115" i="1"/>
  <c r="EN117" i="1" s="1"/>
  <c r="EC75" i="1"/>
  <c r="EU75" i="1" s="1"/>
  <c r="EU72" i="1"/>
  <c r="EG72" i="1"/>
  <c r="EG75" i="1" s="1"/>
  <c r="EI72" i="1"/>
  <c r="EU134" i="1"/>
  <c r="EN141" i="1"/>
  <c r="EN142" i="1" s="1"/>
  <c r="EJ142" i="1"/>
  <c r="DQ104" i="1"/>
  <c r="DU102" i="1"/>
  <c r="EN138" i="1"/>
  <c r="EN139" i="1" s="1"/>
  <c r="EJ139" i="1"/>
  <c r="DY171" i="1"/>
  <c r="DU174" i="1"/>
  <c r="DY59" i="1"/>
  <c r="EC57" i="1"/>
  <c r="EM66" i="1"/>
  <c r="DY86" i="1"/>
  <c r="BQ56" i="1"/>
  <c r="BU53" i="1"/>
  <c r="BU56" i="1" s="1"/>
  <c r="BU302" i="1"/>
  <c r="BU308" i="1" s="1"/>
  <c r="BQ308" i="1"/>
  <c r="DR235" i="1"/>
  <c r="DV233" i="1"/>
  <c r="EC213" i="1"/>
  <c r="EU213" i="1" s="1"/>
  <c r="EU210" i="1"/>
  <c r="EG210" i="1"/>
  <c r="EG213" i="1" s="1"/>
  <c r="EI210" i="1"/>
  <c r="DY215" i="1"/>
  <c r="DU217" i="1"/>
  <c r="EU120" i="1"/>
  <c r="EG120" i="1"/>
  <c r="EG122" i="1" s="1"/>
  <c r="EC122" i="1"/>
  <c r="EU122" i="1" s="1"/>
  <c r="EI120" i="1"/>
  <c r="DQ62" i="1"/>
  <c r="DU60" i="1"/>
  <c r="EU143" i="1"/>
  <c r="EG143" i="1"/>
  <c r="EG146" i="1" s="1"/>
  <c r="EC146" i="1"/>
  <c r="EU146" i="1" s="1"/>
  <c r="EI143" i="1"/>
  <c r="ED79" i="1"/>
  <c r="EV79" i="1" s="1"/>
  <c r="EJ76" i="1"/>
  <c r="EV76" i="1"/>
  <c r="EH76" i="1"/>
  <c r="EH79" i="1" s="1"/>
  <c r="BL185" i="1"/>
  <c r="BN89" i="1"/>
  <c r="EI125" i="1"/>
  <c r="EM123" i="1"/>
  <c r="EM125" i="1" s="1"/>
  <c r="EJ238" i="1"/>
  <c r="EN236" i="1"/>
  <c r="EN238" i="1" s="1"/>
  <c r="EM239" i="1"/>
  <c r="DR174" i="1"/>
  <c r="DV171" i="1"/>
  <c r="DZ189" i="1"/>
  <c r="DV191" i="1"/>
  <c r="DU34" i="1"/>
  <c r="DQ36" i="1"/>
  <c r="EM309" i="1"/>
  <c r="EJ104" i="1"/>
  <c r="EN102" i="1"/>
  <c r="EN104" i="1" s="1"/>
  <c r="DN107" i="1"/>
  <c r="DN135" i="1" s="1"/>
  <c r="DR105" i="1"/>
  <c r="BQ248" i="1"/>
  <c r="BQ262" i="1" s="1"/>
  <c r="BU241" i="1"/>
  <c r="BU248" i="1" s="1"/>
  <c r="BU262" i="1" s="1"/>
  <c r="DY67" i="1"/>
  <c r="DU68" i="1"/>
  <c r="BQ49" i="1"/>
  <c r="BU46" i="1"/>
  <c r="BU49" i="1" s="1"/>
  <c r="DQ269" i="1"/>
  <c r="DQ271" i="1" s="1"/>
  <c r="DU267" i="1"/>
  <c r="EM133" i="1"/>
  <c r="EM134" i="1" s="1"/>
  <c r="EI134" i="1"/>
  <c r="DR156" i="1"/>
  <c r="DV147" i="1"/>
  <c r="EC7" i="1"/>
  <c r="EU7" i="1" s="1"/>
  <c r="EI5" i="1"/>
  <c r="EU5" i="1"/>
  <c r="EG5" i="1"/>
  <c r="EG7" i="1" s="1"/>
  <c r="DZ159" i="1"/>
  <c r="DV160" i="1"/>
  <c r="EJ260" i="1"/>
  <c r="EN257" i="1"/>
  <c r="EN260" i="1" s="1"/>
  <c r="BQ174" i="1"/>
  <c r="BU171" i="1"/>
  <c r="BU174" i="1" s="1"/>
  <c r="BU181" i="1"/>
  <c r="BU184" i="1" s="1"/>
  <c r="BQ184" i="1"/>
  <c r="BQ217" i="1"/>
  <c r="BU215" i="1"/>
  <c r="BU217" i="1" s="1"/>
  <c r="DY118" i="1"/>
  <c r="DQ250" i="1"/>
  <c r="EC250" i="1"/>
  <c r="DM253" i="1"/>
  <c r="DM262" i="1" s="1"/>
  <c r="DZ120" i="1"/>
  <c r="DV122" i="1"/>
  <c r="EJ49" i="1"/>
  <c r="EN46" i="1"/>
  <c r="EN49" i="1" s="1"/>
  <c r="DU107" i="1"/>
  <c r="DY105" i="1"/>
  <c r="BU222" i="1"/>
  <c r="DZ70" i="1"/>
  <c r="DV71" i="1"/>
  <c r="BQ82" i="1"/>
  <c r="BU80" i="1"/>
  <c r="BU82" i="1" s="1"/>
  <c r="DV86" i="1"/>
  <c r="DR89" i="1"/>
  <c r="EC54" i="1"/>
  <c r="DY56" i="1"/>
  <c r="DZ256" i="1"/>
  <c r="ED255" i="1"/>
  <c r="EM88" i="1"/>
  <c r="ED36" i="1"/>
  <c r="EV36" i="1" s="1"/>
  <c r="EV34" i="1"/>
  <c r="EH34" i="1"/>
  <c r="EH36" i="1" s="1"/>
  <c r="EJ34" i="1"/>
  <c r="EH308" i="1"/>
  <c r="BQ146" i="1"/>
  <c r="BU143" i="1"/>
  <c r="BU146" i="1" s="1"/>
  <c r="DY255" i="1"/>
  <c r="DU256" i="1"/>
  <c r="DY63" i="1"/>
  <c r="DV227" i="1"/>
  <c r="DR228" i="1"/>
  <c r="EI79" i="1"/>
  <c r="EM76" i="1"/>
  <c r="EM79" i="1" s="1"/>
  <c r="DY299" i="1"/>
  <c r="DU308" i="1"/>
  <c r="EV289" i="1"/>
  <c r="EH289" i="1"/>
  <c r="EH290" i="1" s="1"/>
  <c r="ED290" i="1"/>
  <c r="EV290" i="1" s="1"/>
  <c r="EJ289" i="1"/>
  <c r="ED54" i="1"/>
  <c r="DZ56" i="1"/>
  <c r="DU261" i="1"/>
  <c r="BU27" i="1"/>
  <c r="BU29" i="1" s="1"/>
  <c r="BQ29" i="1"/>
  <c r="BQ269" i="1"/>
  <c r="BQ271" i="1" s="1"/>
  <c r="BU267" i="1"/>
  <c r="BU269" i="1" s="1"/>
  <c r="BU271" i="1" s="1"/>
  <c r="EV308" i="1"/>
  <c r="EV260" i="1"/>
  <c r="DV65" i="1"/>
  <c r="DZ63" i="1"/>
  <c r="EM307" i="1"/>
  <c r="DY167" i="1"/>
  <c r="DU168" i="1"/>
  <c r="DQ122" i="1"/>
  <c r="DU120" i="1"/>
  <c r="DU122" i="1" s="1"/>
  <c r="DU164" i="1"/>
  <c r="DY162" i="1"/>
  <c r="BQ122" i="1"/>
  <c r="BU120" i="1"/>
  <c r="BU122" i="1" s="1"/>
  <c r="DZ212" i="1"/>
  <c r="DV213" i="1"/>
  <c r="BQ33" i="1"/>
  <c r="BU30" i="1"/>
  <c r="BU33" i="1" s="1"/>
  <c r="BR310" i="1"/>
  <c r="DQ240" i="1"/>
  <c r="BN185" i="1"/>
  <c r="BQ223" i="1" l="1"/>
  <c r="BQ135" i="1"/>
  <c r="DN310" i="1"/>
  <c r="DZ167" i="1"/>
  <c r="DV168" i="1"/>
  <c r="BL310" i="1"/>
  <c r="DR240" i="1"/>
  <c r="BU135" i="1"/>
  <c r="DQ135" i="1"/>
  <c r="BU223" i="1"/>
  <c r="DU64" i="1"/>
  <c r="DQ65" i="1"/>
  <c r="DR223" i="1"/>
  <c r="DY189" i="1"/>
  <c r="DU191" i="1"/>
  <c r="DU223" i="1" s="1"/>
  <c r="DU185" i="1"/>
  <c r="DM310" i="1"/>
  <c r="EJ217" i="1"/>
  <c r="EN215" i="1"/>
  <c r="EN217" i="1" s="1"/>
  <c r="DQ89" i="1"/>
  <c r="BN310" i="1"/>
  <c r="DY233" i="1"/>
  <c r="DU235" i="1"/>
  <c r="EI39" i="1"/>
  <c r="EM37" i="1"/>
  <c r="EM39" i="1" s="1"/>
  <c r="ED212" i="1"/>
  <c r="DZ213" i="1"/>
  <c r="DY164" i="1"/>
  <c r="EC162" i="1"/>
  <c r="EC63" i="1"/>
  <c r="EC299" i="1"/>
  <c r="DY308" i="1"/>
  <c r="EC255" i="1"/>
  <c r="DY256" i="1"/>
  <c r="EC105" i="1"/>
  <c r="DY107" i="1"/>
  <c r="DU250" i="1"/>
  <c r="DU253" i="1" s="1"/>
  <c r="DU262" i="1" s="1"/>
  <c r="DQ253" i="1"/>
  <c r="DQ262" i="1" s="1"/>
  <c r="ED159" i="1"/>
  <c r="DZ160" i="1"/>
  <c r="DY217" i="1"/>
  <c r="EC215" i="1"/>
  <c r="EC86" i="1"/>
  <c r="ED99" i="1"/>
  <c r="DZ101" i="1"/>
  <c r="EU184" i="1"/>
  <c r="DZ220" i="1"/>
  <c r="DV221" i="1"/>
  <c r="DV223" i="1" s="1"/>
  <c r="DY261" i="1"/>
  <c r="EJ290" i="1"/>
  <c r="EN289" i="1"/>
  <c r="EN290" i="1" s="1"/>
  <c r="EI54" i="1"/>
  <c r="EU54" i="1"/>
  <c r="EG54" i="1"/>
  <c r="EG56" i="1" s="1"/>
  <c r="EC56" i="1"/>
  <c r="EU56" i="1" s="1"/>
  <c r="EG250" i="1"/>
  <c r="EG253" i="1" s="1"/>
  <c r="EI250" i="1"/>
  <c r="EU250" i="1"/>
  <c r="EC253" i="1"/>
  <c r="EU253" i="1" s="1"/>
  <c r="EI7" i="1"/>
  <c r="EM5" i="1"/>
  <c r="EM7" i="1" s="1"/>
  <c r="DV174" i="1"/>
  <c r="DZ171" i="1"/>
  <c r="EI146" i="1"/>
  <c r="EM143" i="1"/>
  <c r="EM146" i="1" s="1"/>
  <c r="DU62" i="1"/>
  <c r="DY60" i="1"/>
  <c r="EU57" i="1"/>
  <c r="EG57" i="1"/>
  <c r="EG59" i="1" s="1"/>
  <c r="EC59" i="1"/>
  <c r="EU59" i="1" s="1"/>
  <c r="EI57" i="1"/>
  <c r="EI75" i="1"/>
  <c r="EM72" i="1"/>
  <c r="EM75" i="1" s="1"/>
  <c r="EI225" i="1"/>
  <c r="EM224" i="1"/>
  <c r="EM225" i="1" s="1"/>
  <c r="EI184" i="1"/>
  <c r="EM181" i="1"/>
  <c r="EM184" i="1" s="1"/>
  <c r="EC236" i="1"/>
  <c r="DY238" i="1"/>
  <c r="DY110" i="1"/>
  <c r="EC108" i="1"/>
  <c r="EM266" i="1"/>
  <c r="DU101" i="1"/>
  <c r="DY99" i="1"/>
  <c r="EI82" i="1"/>
  <c r="EM80" i="1"/>
  <c r="EM82" i="1" s="1"/>
  <c r="EJ33" i="1"/>
  <c r="EN30" i="1"/>
  <c r="EN33" i="1" s="1"/>
  <c r="EI33" i="1"/>
  <c r="EM30" i="1"/>
  <c r="EM33" i="1" s="1"/>
  <c r="DR185" i="1"/>
  <c r="BQ89" i="1"/>
  <c r="EC167" i="1"/>
  <c r="DY168" i="1"/>
  <c r="EV54" i="1"/>
  <c r="EH54" i="1"/>
  <c r="EH56" i="1" s="1"/>
  <c r="EJ54" i="1"/>
  <c r="ED56" i="1"/>
  <c r="EV56" i="1" s="1"/>
  <c r="EJ36" i="1"/>
  <c r="EN34" i="1"/>
  <c r="EN36" i="1" s="1"/>
  <c r="EC118" i="1"/>
  <c r="EC67" i="1"/>
  <c r="DY68" i="1"/>
  <c r="DZ191" i="1"/>
  <c r="ED189" i="1"/>
  <c r="EC171" i="1"/>
  <c r="DY174" i="1"/>
  <c r="EC227" i="1"/>
  <c r="DY228" i="1"/>
  <c r="EC242" i="1"/>
  <c r="DY248" i="1"/>
  <c r="DY85" i="1"/>
  <c r="EC83" i="1"/>
  <c r="DY49" i="1"/>
  <c r="EC46" i="1"/>
  <c r="EI16" i="1"/>
  <c r="EM14" i="1"/>
  <c r="EM16" i="1" s="1"/>
  <c r="BU89" i="1"/>
  <c r="BU185" i="1"/>
  <c r="DZ86" i="1"/>
  <c r="DV89" i="1"/>
  <c r="ED120" i="1"/>
  <c r="DZ122" i="1"/>
  <c r="DV156" i="1"/>
  <c r="DZ147" i="1"/>
  <c r="DU269" i="1"/>
  <c r="DU271" i="1" s="1"/>
  <c r="DY267" i="1"/>
  <c r="DR107" i="1"/>
  <c r="DR135" i="1" s="1"/>
  <c r="DV105" i="1"/>
  <c r="EN76" i="1"/>
  <c r="EN79" i="1" s="1"/>
  <c r="EJ79" i="1"/>
  <c r="EI122" i="1"/>
  <c r="EM120" i="1"/>
  <c r="EM122" i="1" s="1"/>
  <c r="EI213" i="1"/>
  <c r="EM210" i="1"/>
  <c r="EM213" i="1" s="1"/>
  <c r="DV235" i="1"/>
  <c r="DZ233" i="1"/>
  <c r="DU104" i="1"/>
  <c r="DY102" i="1"/>
  <c r="EJ16" i="1"/>
  <c r="EN14" i="1"/>
  <c r="EN16" i="1" s="1"/>
  <c r="EC260" i="1"/>
  <c r="EU260" i="1" s="1"/>
  <c r="EU257" i="1"/>
  <c r="EG257" i="1"/>
  <c r="EG260" i="1" s="1"/>
  <c r="EI257" i="1"/>
  <c r="DZ271" i="1"/>
  <c r="ED266" i="1"/>
  <c r="DQ265" i="1"/>
  <c r="DU263" i="1"/>
  <c r="EC272" i="1"/>
  <c r="DY286" i="1"/>
  <c r="DY288" i="1" s="1"/>
  <c r="ED207" i="1"/>
  <c r="DZ209" i="1"/>
  <c r="EN69" i="1"/>
  <c r="BQ185" i="1"/>
  <c r="BQ310" i="1" s="1"/>
  <c r="ED63" i="1"/>
  <c r="DZ65" i="1"/>
  <c r="ED70" i="1"/>
  <c r="DZ71" i="1"/>
  <c r="DZ227" i="1"/>
  <c r="DV228" i="1"/>
  <c r="EJ255" i="1"/>
  <c r="EH255" i="1"/>
  <c r="EH256" i="1" s="1"/>
  <c r="EV255" i="1"/>
  <c r="ED256" i="1"/>
  <c r="DU36" i="1"/>
  <c r="DY34" i="1"/>
  <c r="ED252" i="1"/>
  <c r="DZ253" i="1"/>
  <c r="DZ262" i="1" s="1"/>
  <c r="EN243" i="1"/>
  <c r="EN248" i="1" s="1"/>
  <c r="EJ248" i="1"/>
  <c r="DZ85" i="1"/>
  <c r="ED83" i="1"/>
  <c r="DY160" i="1"/>
  <c r="EC159" i="1"/>
  <c r="ED67" i="1"/>
  <c r="DZ68" i="1"/>
  <c r="DU240" i="1"/>
  <c r="BU310" i="1" l="1"/>
  <c r="DZ168" i="1"/>
  <c r="ED167" i="1"/>
  <c r="DU135" i="1"/>
  <c r="EC189" i="1"/>
  <c r="DY191" i="1"/>
  <c r="DY223" i="1" s="1"/>
  <c r="DY64" i="1"/>
  <c r="DU65" i="1"/>
  <c r="DQ310" i="1"/>
  <c r="DU89" i="1"/>
  <c r="EC233" i="1"/>
  <c r="DY235" i="1"/>
  <c r="DR310" i="1"/>
  <c r="EJ63" i="1"/>
  <c r="ED65" i="1"/>
  <c r="EV65" i="1" s="1"/>
  <c r="EV63" i="1"/>
  <c r="EH63" i="1"/>
  <c r="EH65" i="1" s="1"/>
  <c r="EV83" i="1"/>
  <c r="EH83" i="1"/>
  <c r="EH85" i="1" s="1"/>
  <c r="ED85" i="1"/>
  <c r="EV85" i="1" s="1"/>
  <c r="EJ83" i="1"/>
  <c r="EV256" i="1"/>
  <c r="EV207" i="1"/>
  <c r="EH207" i="1"/>
  <c r="EH209" i="1" s="1"/>
  <c r="EJ207" i="1"/>
  <c r="ED209" i="1"/>
  <c r="EV209" i="1" s="1"/>
  <c r="EN255" i="1"/>
  <c r="EN256" i="1" s="1"/>
  <c r="EJ256" i="1"/>
  <c r="EV70" i="1"/>
  <c r="EH70" i="1"/>
  <c r="EH71" i="1" s="1"/>
  <c r="EJ70" i="1"/>
  <c r="ED71" i="1"/>
  <c r="EV71" i="1" s="1"/>
  <c r="DU265" i="1"/>
  <c r="DY263" i="1"/>
  <c r="EM257" i="1"/>
  <c r="EM260" i="1" s="1"/>
  <c r="EI260" i="1"/>
  <c r="EU159" i="1"/>
  <c r="EG159" i="1"/>
  <c r="EG160" i="1" s="1"/>
  <c r="EC160" i="1"/>
  <c r="EU160" i="1" s="1"/>
  <c r="EI159" i="1"/>
  <c r="EC34" i="1"/>
  <c r="DY36" i="1"/>
  <c r="EI272" i="1"/>
  <c r="EC286" i="1"/>
  <c r="EG272" i="1"/>
  <c r="EG286" i="1" s="1"/>
  <c r="EG288" i="1" s="1"/>
  <c r="EU272" i="1"/>
  <c r="EJ120" i="1"/>
  <c r="EV120" i="1"/>
  <c r="EH120" i="1"/>
  <c r="EH122" i="1" s="1"/>
  <c r="ED122" i="1"/>
  <c r="EU227" i="1"/>
  <c r="EG227" i="1"/>
  <c r="EG228" i="1" s="1"/>
  <c r="EI227" i="1"/>
  <c r="EC228" i="1"/>
  <c r="EU228" i="1" s="1"/>
  <c r="EU118" i="1"/>
  <c r="EG118" i="1"/>
  <c r="EI118" i="1"/>
  <c r="EN54" i="1"/>
  <c r="EN56" i="1" s="1"/>
  <c r="EJ56" i="1"/>
  <c r="EI167" i="1"/>
  <c r="EU167" i="1"/>
  <c r="EG167" i="1"/>
  <c r="EG168" i="1" s="1"/>
  <c r="EC168" i="1"/>
  <c r="EU168" i="1" s="1"/>
  <c r="EC99" i="1"/>
  <c r="DY101" i="1"/>
  <c r="EC110" i="1"/>
  <c r="EU110" i="1" s="1"/>
  <c r="EI108" i="1"/>
  <c r="EU108" i="1"/>
  <c r="EG108" i="1"/>
  <c r="EG110" i="1" s="1"/>
  <c r="EM250" i="1"/>
  <c r="EM253" i="1" s="1"/>
  <c r="EI253" i="1"/>
  <c r="EC261" i="1"/>
  <c r="DY262" i="1"/>
  <c r="EU162" i="1"/>
  <c r="EG162" i="1"/>
  <c r="EG164" i="1" s="1"/>
  <c r="EC164" i="1"/>
  <c r="EU164" i="1" s="1"/>
  <c r="EI162" i="1"/>
  <c r="DV240" i="1"/>
  <c r="EV67" i="1"/>
  <c r="EH67" i="1"/>
  <c r="EH68" i="1" s="1"/>
  <c r="EJ67" i="1"/>
  <c r="ED68" i="1"/>
  <c r="EV68" i="1" s="1"/>
  <c r="ED227" i="1"/>
  <c r="DZ228" i="1"/>
  <c r="EV266" i="1"/>
  <c r="EH266" i="1"/>
  <c r="EH271" i="1" s="1"/>
  <c r="EJ266" i="1"/>
  <c r="ED271" i="1"/>
  <c r="EC102" i="1"/>
  <c r="DY104" i="1"/>
  <c r="EC267" i="1"/>
  <c r="DY269" i="1"/>
  <c r="DY271" i="1" s="1"/>
  <c r="EU83" i="1"/>
  <c r="EG83" i="1"/>
  <c r="EG85" i="1" s="1"/>
  <c r="EC85" i="1"/>
  <c r="EU85" i="1" s="1"/>
  <c r="EI83" i="1"/>
  <c r="EV189" i="1"/>
  <c r="EH189" i="1"/>
  <c r="EH191" i="1" s="1"/>
  <c r="EJ189" i="1"/>
  <c r="ED191" i="1"/>
  <c r="EV191" i="1" s="1"/>
  <c r="EI236" i="1"/>
  <c r="EC238" i="1"/>
  <c r="EU236" i="1"/>
  <c r="EG236" i="1"/>
  <c r="EG238" i="1" s="1"/>
  <c r="ED220" i="1"/>
  <c r="DZ221" i="1"/>
  <c r="DZ223" i="1" s="1"/>
  <c r="EJ99" i="1"/>
  <c r="ED101" i="1"/>
  <c r="EV101" i="1" s="1"/>
  <c r="EV99" i="1"/>
  <c r="EH99" i="1"/>
  <c r="EH101" i="1" s="1"/>
  <c r="EI255" i="1"/>
  <c r="EU255" i="1"/>
  <c r="EG255" i="1"/>
  <c r="EG256" i="1" s="1"/>
  <c r="EC256" i="1"/>
  <c r="EU256" i="1" s="1"/>
  <c r="EV212" i="1"/>
  <c r="EH212" i="1"/>
  <c r="EH213" i="1" s="1"/>
  <c r="EJ212" i="1"/>
  <c r="ED213" i="1"/>
  <c r="EV213" i="1" s="1"/>
  <c r="DV185" i="1"/>
  <c r="EV252" i="1"/>
  <c r="EH252" i="1"/>
  <c r="EH253" i="1" s="1"/>
  <c r="EH262" i="1" s="1"/>
  <c r="EJ252" i="1"/>
  <c r="ED253" i="1"/>
  <c r="EV253" i="1" s="1"/>
  <c r="ED86" i="1"/>
  <c r="DZ89" i="1"/>
  <c r="EI242" i="1"/>
  <c r="EU242" i="1"/>
  <c r="EG242" i="1"/>
  <c r="EG248" i="1" s="1"/>
  <c r="EC248" i="1"/>
  <c r="EU248" i="1" s="1"/>
  <c r="EI171" i="1"/>
  <c r="EU171" i="1"/>
  <c r="EG171" i="1"/>
  <c r="EG174" i="1" s="1"/>
  <c r="EC174" i="1"/>
  <c r="EI67" i="1"/>
  <c r="EG67" i="1"/>
  <c r="EG68" i="1" s="1"/>
  <c r="EU67" i="1"/>
  <c r="EC68" i="1"/>
  <c r="EU68" i="1" s="1"/>
  <c r="EI59" i="1"/>
  <c r="EM57" i="1"/>
  <c r="EM59" i="1" s="1"/>
  <c r="DY62" i="1"/>
  <c r="EC60" i="1"/>
  <c r="DZ174" i="1"/>
  <c r="ED171" i="1"/>
  <c r="EU215" i="1"/>
  <c r="EG215" i="1"/>
  <c r="EG217" i="1" s="1"/>
  <c r="EC217" i="1"/>
  <c r="EI215" i="1"/>
  <c r="EU63" i="1"/>
  <c r="EG63" i="1"/>
  <c r="EI63" i="1"/>
  <c r="DY240" i="1"/>
  <c r="DZ235" i="1"/>
  <c r="DZ240" i="1" s="1"/>
  <c r="ED233" i="1"/>
  <c r="DV107" i="1"/>
  <c r="DV135" i="1" s="1"/>
  <c r="DZ105" i="1"/>
  <c r="DZ156" i="1"/>
  <c r="ED147" i="1"/>
  <c r="EU46" i="1"/>
  <c r="EG46" i="1"/>
  <c r="EG49" i="1" s="1"/>
  <c r="EC49" i="1"/>
  <c r="EU49" i="1" s="1"/>
  <c r="EI46" i="1"/>
  <c r="EM54" i="1"/>
  <c r="EM56" i="1" s="1"/>
  <c r="EI56" i="1"/>
  <c r="EI86" i="1"/>
  <c r="EU86" i="1"/>
  <c r="EG86" i="1"/>
  <c r="EJ159" i="1"/>
  <c r="EV159" i="1"/>
  <c r="EH159" i="1"/>
  <c r="EH160" i="1" s="1"/>
  <c r="ED160" i="1"/>
  <c r="EV160" i="1" s="1"/>
  <c r="EI105" i="1"/>
  <c r="EC107" i="1"/>
  <c r="EU107" i="1" s="1"/>
  <c r="EU105" i="1"/>
  <c r="EG105" i="1"/>
  <c r="EG107" i="1" s="1"/>
  <c r="EU299" i="1"/>
  <c r="EG299" i="1"/>
  <c r="EG308" i="1" s="1"/>
  <c r="EI299" i="1"/>
  <c r="EC308" i="1"/>
  <c r="DY185" i="1"/>
  <c r="EJ167" i="1" l="1"/>
  <c r="EH167" i="1"/>
  <c r="EH168" i="1" s="1"/>
  <c r="EV167" i="1"/>
  <c r="ED168" i="1"/>
  <c r="EV168" i="1" s="1"/>
  <c r="DU310" i="1"/>
  <c r="DY135" i="1"/>
  <c r="EC64" i="1"/>
  <c r="DY65" i="1"/>
  <c r="DY89" i="1" s="1"/>
  <c r="EG185" i="1"/>
  <c r="EG189" i="1"/>
  <c r="EG191" i="1" s="1"/>
  <c r="EU189" i="1"/>
  <c r="EI189" i="1"/>
  <c r="EC191" i="1"/>
  <c r="EU191" i="1" s="1"/>
  <c r="EG223" i="1"/>
  <c r="EI233" i="1"/>
  <c r="EU233" i="1"/>
  <c r="EG233" i="1"/>
  <c r="EG235" i="1" s="1"/>
  <c r="EG240" i="1" s="1"/>
  <c r="EC235" i="1"/>
  <c r="EU235" i="1" s="1"/>
  <c r="EM299" i="1"/>
  <c r="EM308" i="1" s="1"/>
  <c r="EI308" i="1"/>
  <c r="EC62" i="1"/>
  <c r="EU62" i="1" s="1"/>
  <c r="EU60" i="1"/>
  <c r="EG60" i="1"/>
  <c r="EG62" i="1" s="1"/>
  <c r="EI60" i="1"/>
  <c r="EU174" i="1"/>
  <c r="EC185" i="1"/>
  <c r="EU185" i="1" s="1"/>
  <c r="EM255" i="1"/>
  <c r="EM256" i="1" s="1"/>
  <c r="EI256" i="1"/>
  <c r="EJ101" i="1"/>
  <c r="EN99" i="1"/>
  <c r="EN101" i="1" s="1"/>
  <c r="EN189" i="1"/>
  <c r="EN191" i="1" s="1"/>
  <c r="EJ191" i="1"/>
  <c r="EI267" i="1"/>
  <c r="EU267" i="1"/>
  <c r="EG267" i="1"/>
  <c r="EG269" i="1" s="1"/>
  <c r="EG271" i="1" s="1"/>
  <c r="EC269" i="1"/>
  <c r="EJ271" i="1"/>
  <c r="EN266" i="1"/>
  <c r="EN271" i="1" s="1"/>
  <c r="EN67" i="1"/>
  <c r="EN68" i="1" s="1"/>
  <c r="EJ68" i="1"/>
  <c r="EI164" i="1"/>
  <c r="EM162" i="1"/>
  <c r="EM164" i="1" s="1"/>
  <c r="EC288" i="1"/>
  <c r="EU288" i="1" s="1"/>
  <c r="EU286" i="1"/>
  <c r="EI160" i="1"/>
  <c r="EM159" i="1"/>
  <c r="EM160" i="1" s="1"/>
  <c r="EJ85" i="1"/>
  <c r="EN83" i="1"/>
  <c r="EN85" i="1" s="1"/>
  <c r="EU308" i="1"/>
  <c r="DZ107" i="1"/>
  <c r="DZ135" i="1" s="1"/>
  <c r="ED105" i="1"/>
  <c r="EU217" i="1"/>
  <c r="EM67" i="1"/>
  <c r="EM68" i="1" s="1"/>
  <c r="EI68" i="1"/>
  <c r="EM171" i="1"/>
  <c r="EM174" i="1" s="1"/>
  <c r="EI174" i="1"/>
  <c r="EM242" i="1"/>
  <c r="EM248" i="1" s="1"/>
  <c r="EI248" i="1"/>
  <c r="EN252" i="1"/>
  <c r="EN253" i="1" s="1"/>
  <c r="EJ253" i="1"/>
  <c r="EJ262" i="1" s="1"/>
  <c r="EI85" i="1"/>
  <c r="EM83" i="1"/>
  <c r="EM85" i="1" s="1"/>
  <c r="EV271" i="1"/>
  <c r="EM227" i="1"/>
  <c r="EM228" i="1" s="1"/>
  <c r="EI228" i="1"/>
  <c r="EI34" i="1"/>
  <c r="EC36" i="1"/>
  <c r="EU36" i="1" s="1"/>
  <c r="EU34" i="1"/>
  <c r="EG34" i="1"/>
  <c r="EG36" i="1" s="1"/>
  <c r="EJ209" i="1"/>
  <c r="EN207" i="1"/>
  <c r="EN209" i="1" s="1"/>
  <c r="EJ65" i="1"/>
  <c r="EN63" i="1"/>
  <c r="EN65" i="1" s="1"/>
  <c r="DZ185" i="1"/>
  <c r="DV310" i="1"/>
  <c r="EI107" i="1"/>
  <c r="EM105" i="1"/>
  <c r="EM107" i="1" s="1"/>
  <c r="EJ160" i="1"/>
  <c r="EN159" i="1"/>
  <c r="EN160" i="1" s="1"/>
  <c r="EM86" i="1"/>
  <c r="EM63" i="1"/>
  <c r="EI217" i="1"/>
  <c r="EM215" i="1"/>
  <c r="EM217" i="1" s="1"/>
  <c r="ED174" i="1"/>
  <c r="EJ171" i="1"/>
  <c r="EV171" i="1"/>
  <c r="EH171" i="1"/>
  <c r="EH174" i="1" s="1"/>
  <c r="EN212" i="1"/>
  <c r="EN213" i="1" s="1"/>
  <c r="EJ213" i="1"/>
  <c r="EJ220" i="1"/>
  <c r="EV220" i="1"/>
  <c r="EH220" i="1"/>
  <c r="EH221" i="1" s="1"/>
  <c r="EH223" i="1" s="1"/>
  <c r="ED221" i="1"/>
  <c r="EI238" i="1"/>
  <c r="EM236" i="1"/>
  <c r="EM238" i="1" s="1"/>
  <c r="EI102" i="1"/>
  <c r="EC104" i="1"/>
  <c r="EU102" i="1"/>
  <c r="EG102" i="1"/>
  <c r="EG104" i="1" s="1"/>
  <c r="EJ227" i="1"/>
  <c r="EH227" i="1"/>
  <c r="EH228" i="1" s="1"/>
  <c r="EV227" i="1"/>
  <c r="ED228" i="1"/>
  <c r="EV228" i="1" s="1"/>
  <c r="EI110" i="1"/>
  <c r="EM108" i="1"/>
  <c r="EM110" i="1" s="1"/>
  <c r="EV122" i="1"/>
  <c r="DY265" i="1"/>
  <c r="EC263" i="1"/>
  <c r="ED262" i="1"/>
  <c r="EV262" i="1" s="1"/>
  <c r="EI49" i="1"/>
  <c r="EM46" i="1"/>
  <c r="EM49" i="1" s="1"/>
  <c r="ED156" i="1"/>
  <c r="EV156" i="1" s="1"/>
  <c r="EJ147" i="1"/>
  <c r="EV147" i="1"/>
  <c r="EH147" i="1"/>
  <c r="EH156" i="1" s="1"/>
  <c r="ED235" i="1"/>
  <c r="EV233" i="1"/>
  <c r="EH233" i="1"/>
  <c r="EH235" i="1" s="1"/>
  <c r="EH240" i="1" s="1"/>
  <c r="EJ233" i="1"/>
  <c r="EV86" i="1"/>
  <c r="EH86" i="1"/>
  <c r="EH89" i="1" s="1"/>
  <c r="EJ86" i="1"/>
  <c r="ED89" i="1"/>
  <c r="EV89" i="1" s="1"/>
  <c r="EU238" i="1"/>
  <c r="EC240" i="1"/>
  <c r="EU240" i="1" s="1"/>
  <c r="EI261" i="1"/>
  <c r="EC262" i="1"/>
  <c r="EU262" i="1" s="1"/>
  <c r="EU261" i="1"/>
  <c r="EG261" i="1"/>
  <c r="EG262" i="1" s="1"/>
  <c r="EI99" i="1"/>
  <c r="EC101" i="1"/>
  <c r="EU101" i="1" s="1"/>
  <c r="EU99" i="1"/>
  <c r="EG99" i="1"/>
  <c r="EG101" i="1" s="1"/>
  <c r="EG135" i="1" s="1"/>
  <c r="EM167" i="1"/>
  <c r="EM168" i="1" s="1"/>
  <c r="EI168" i="1"/>
  <c r="EM118" i="1"/>
  <c r="EJ122" i="1"/>
  <c r="EN120" i="1"/>
  <c r="EN122" i="1" s="1"/>
  <c r="EI286" i="1"/>
  <c r="EI288" i="1" s="1"/>
  <c r="EM272" i="1"/>
  <c r="EM286" i="1" s="1"/>
  <c r="EM288" i="1" s="1"/>
  <c r="EN70" i="1"/>
  <c r="EN71" i="1" s="1"/>
  <c r="EJ71" i="1"/>
  <c r="EN262" i="1"/>
  <c r="EN167" i="1" l="1"/>
  <c r="EN168" i="1" s="1"/>
  <c r="EJ168" i="1"/>
  <c r="DZ310" i="1"/>
  <c r="EM189" i="1"/>
  <c r="EM191" i="1" s="1"/>
  <c r="EI191" i="1"/>
  <c r="DY310" i="1"/>
  <c r="ES314" i="1" s="1"/>
  <c r="EI64" i="1"/>
  <c r="EU64" i="1"/>
  <c r="EG64" i="1"/>
  <c r="EG65" i="1" s="1"/>
  <c r="EC65" i="1"/>
  <c r="EM223" i="1"/>
  <c r="EI223" i="1"/>
  <c r="EC223" i="1"/>
  <c r="EU223" i="1" s="1"/>
  <c r="EI185" i="1"/>
  <c r="EG89" i="1"/>
  <c r="EI235" i="1"/>
  <c r="EI240" i="1" s="1"/>
  <c r="EM233" i="1"/>
  <c r="EM235" i="1" s="1"/>
  <c r="EM240" i="1" s="1"/>
  <c r="EH185" i="1"/>
  <c r="ET314" i="1"/>
  <c r="EJ156" i="1"/>
  <c r="EN147" i="1"/>
  <c r="EN156" i="1" s="1"/>
  <c r="EI101" i="1"/>
  <c r="EM99" i="1"/>
  <c r="EM101" i="1" s="1"/>
  <c r="EI262" i="1"/>
  <c r="EM261" i="1"/>
  <c r="EM262" i="1" s="1"/>
  <c r="EN86" i="1"/>
  <c r="EN89" i="1" s="1"/>
  <c r="EJ89" i="1"/>
  <c r="EN227" i="1"/>
  <c r="EN228" i="1" s="1"/>
  <c r="EJ228" i="1"/>
  <c r="EI104" i="1"/>
  <c r="EI135" i="1" s="1"/>
  <c r="EM102" i="1"/>
  <c r="EM104" i="1" s="1"/>
  <c r="EM135" i="1" s="1"/>
  <c r="EV174" i="1"/>
  <c r="ED185" i="1"/>
  <c r="EV185" i="1" s="1"/>
  <c r="EI269" i="1"/>
  <c r="EI271" i="1" s="1"/>
  <c r="EM267" i="1"/>
  <c r="EM269" i="1" s="1"/>
  <c r="EM271" i="1" s="1"/>
  <c r="EJ235" i="1"/>
  <c r="EN233" i="1"/>
  <c r="EN235" i="1" s="1"/>
  <c r="EC265" i="1"/>
  <c r="EU265" i="1" s="1"/>
  <c r="EU263" i="1"/>
  <c r="EG263" i="1"/>
  <c r="EG265" i="1" s="1"/>
  <c r="EI263" i="1"/>
  <c r="EU104" i="1"/>
  <c r="EC135" i="1"/>
  <c r="EU135" i="1" s="1"/>
  <c r="EV221" i="1"/>
  <c r="ED223" i="1"/>
  <c r="EV223" i="1" s="1"/>
  <c r="EJ174" i="1"/>
  <c r="EJ185" i="1" s="1"/>
  <c r="EN171" i="1"/>
  <c r="EN174" i="1" s="1"/>
  <c r="EN185" i="1" s="1"/>
  <c r="ED107" i="1"/>
  <c r="EV105" i="1"/>
  <c r="EH105" i="1"/>
  <c r="EH107" i="1" s="1"/>
  <c r="EH135" i="1" s="1"/>
  <c r="EH310" i="1" s="1"/>
  <c r="EJ105" i="1"/>
  <c r="EV235" i="1"/>
  <c r="ED240" i="1"/>
  <c r="EV240" i="1" s="1"/>
  <c r="EN220" i="1"/>
  <c r="EN221" i="1" s="1"/>
  <c r="EN223" i="1" s="1"/>
  <c r="EJ221" i="1"/>
  <c r="EJ223" i="1" s="1"/>
  <c r="EI36" i="1"/>
  <c r="EM34" i="1"/>
  <c r="EM36" i="1" s="1"/>
  <c r="EM185" i="1"/>
  <c r="EU269" i="1"/>
  <c r="EC271" i="1"/>
  <c r="EU271" i="1" s="1"/>
  <c r="EI62" i="1"/>
  <c r="EM60" i="1"/>
  <c r="EM62" i="1" s="1"/>
  <c r="DW313" i="1" l="1"/>
  <c r="EU65" i="1"/>
  <c r="EC89" i="1"/>
  <c r="EU89" i="1" s="1"/>
  <c r="EG310" i="1"/>
  <c r="EJ240" i="1"/>
  <c r="EM64" i="1"/>
  <c r="EM65" i="1" s="1"/>
  <c r="EI65" i="1"/>
  <c r="EI89" i="1" s="1"/>
  <c r="EM89" i="1"/>
  <c r="EC310" i="1"/>
  <c r="EU310" i="1" s="1"/>
  <c r="EN240" i="1"/>
  <c r="EV107" i="1"/>
  <c r="ED135" i="1"/>
  <c r="EM263" i="1"/>
  <c r="EM265" i="1" s="1"/>
  <c r="EI265" i="1"/>
  <c r="EJ107" i="1"/>
  <c r="EJ135" i="1" s="1"/>
  <c r="EJ310" i="1" s="1"/>
  <c r="EN105" i="1"/>
  <c r="EN107" i="1" s="1"/>
  <c r="EN135" i="1" s="1"/>
  <c r="EN310" i="1" l="1"/>
  <c r="EI310" i="1"/>
  <c r="EM310" i="1"/>
  <c r="EV135" i="1"/>
  <c r="ED310" i="1"/>
  <c r="EV310" i="1" l="1"/>
</calcChain>
</file>

<file path=xl/comments1.xml><?xml version="1.0" encoding="utf-8"?>
<comments xmlns="http://schemas.openxmlformats.org/spreadsheetml/2006/main">
  <authors>
    <author>Author</author>
  </authors>
  <commentList>
    <comment ref="CU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289.41</t>
        </r>
      </text>
    </comment>
    <comment ref="EW6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1963.96</t>
        </r>
      </text>
    </comment>
    <comment ref="CV10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 lakh in july
</t>
        </r>
      </text>
    </comment>
    <comment ref="DY1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bal shows -73.80 and net bal -38.54 lakhs . So figures made zero</t>
        </r>
      </text>
    </comment>
    <comment ref="CV15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25.00 lskh july
</t>
        </r>
      </text>
    </comment>
    <comment ref="DI17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340</t>
        </r>
      </text>
    </comment>
    <comment ref="AZ29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 11.19 NO FUND
</t>
        </r>
      </text>
    </comment>
    <comment ref="BW29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360 arrears
</t>
        </r>
      </text>
    </comment>
    <comment ref="BJ29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938 lakh for feb
</t>
        </r>
      </text>
    </comment>
    <comment ref="BW29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330
arrears</t>
        </r>
      </text>
    </comment>
    <comment ref="BW29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40.92 lakh arrear</t>
        </r>
      </text>
    </comment>
    <comment ref="BW29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1493 arrears</t>
        </r>
      </text>
    </comment>
  </commentList>
</comments>
</file>

<file path=xl/sharedStrings.xml><?xml version="1.0" encoding="utf-8"?>
<sst xmlns="http://schemas.openxmlformats.org/spreadsheetml/2006/main" count="1054" uniqueCount="639">
  <si>
    <t>PROGR. TILL FEB FOR RE 2020-21</t>
  </si>
  <si>
    <t>Releases</t>
  </si>
  <si>
    <t>BE 2021-22 Requirement</t>
  </si>
  <si>
    <t>(RS IN LAKH)</t>
  </si>
  <si>
    <t>march paid in april 2022</t>
  </si>
  <si>
    <t xml:space="preserve">Other than NEH TSP </t>
  </si>
  <si>
    <t>NEH</t>
  </si>
  <si>
    <t>Grand Total</t>
  </si>
  <si>
    <t>Finalised BASED ON INCREASE IN BUDGET</t>
  </si>
  <si>
    <t>Demand minus finalised</t>
  </si>
  <si>
    <t>Tentative BE   2021-22</t>
  </si>
  <si>
    <t>Tentative BE  2021-22</t>
  </si>
  <si>
    <t>3 months(April-June)</t>
  </si>
  <si>
    <t>one month march paid in april</t>
  </si>
  <si>
    <t>ADDITIONAL MAY, JUNE, 2021</t>
  </si>
  <si>
    <t>3 months(july -sept)</t>
  </si>
  <si>
    <t>ADDITIONAL JULY 2021</t>
  </si>
  <si>
    <t>PROGRESSIVE TILL JULY, 2021</t>
  </si>
  <si>
    <t>SEPT ADDITIONAL</t>
  </si>
  <si>
    <t>OCT-DEC RELEASE</t>
  </si>
  <si>
    <t>ADDITIONAL OCT-DEC</t>
  </si>
  <si>
    <t>Progressive Release till 31 Dec, 2021 (includingMarch paid in April, 2021)</t>
  </si>
  <si>
    <t>january remittance</t>
  </si>
  <si>
    <t>additional</t>
  </si>
  <si>
    <t>progressive release till 31.1.22</t>
  </si>
  <si>
    <t>BILL 14.02.2022</t>
  </si>
  <si>
    <t xml:space="preserve">ADDITIONAL BILL </t>
  </si>
  <si>
    <t>non tsa</t>
  </si>
  <si>
    <t>PROGRESSIVE RELEASE =RE</t>
  </si>
  <si>
    <t>10% INCREASE</t>
  </si>
  <si>
    <t>ONE MONTH BILL</t>
  </si>
  <si>
    <t>RE/12*3</t>
  </si>
  <si>
    <t>bill apr-june columns linked</t>
  </si>
  <si>
    <t>additional for 1st quarter</t>
  </si>
  <si>
    <t>BE 2022-23 (in budget circular)</t>
  </si>
  <si>
    <t xml:space="preserve">for 12 months as pr </t>
  </si>
  <si>
    <t>draft on website</t>
  </si>
  <si>
    <t>after demands BE</t>
  </si>
  <si>
    <t>BILL JULY-SEPT LINKED</t>
  </si>
  <si>
    <t>ADDITIONAL FUNDS JULY-SEPT</t>
  </si>
  <si>
    <t>PROGRESSIVE RELEASE including march</t>
  </si>
  <si>
    <t>expenditure upto sept</t>
  </si>
  <si>
    <t>BALANCE</t>
  </si>
  <si>
    <t>0.25 OF MIN OF be and proposed re</t>
  </si>
  <si>
    <t>oct -dec release</t>
  </si>
  <si>
    <t>ADDITIONAL FUNDS TILL OCT-DEC</t>
  </si>
  <si>
    <t>progressive till dec</t>
  </si>
  <si>
    <t>expemditure till Dec, 2022</t>
  </si>
  <si>
    <t>BALANCE AVAILABLE</t>
  </si>
  <si>
    <t>Monthly avg requirement</t>
  </si>
  <si>
    <t>ACTUAL CASH REQUIRED FOR JANUARY</t>
  </si>
  <si>
    <t>Addl amount remained unremmitted</t>
  </si>
  <si>
    <t>progressive release till january</t>
  </si>
  <si>
    <t>expenditure upto 31.1.23</t>
  </si>
  <si>
    <t>% expenditure wrt to release</t>
  </si>
  <si>
    <t>available balance</t>
  </si>
  <si>
    <t>one month requirement</t>
  </si>
  <si>
    <t>balance acc to proposed RE</t>
  </si>
  <si>
    <t>RE 2022-23</t>
  </si>
  <si>
    <t>ANN.1A</t>
  </si>
  <si>
    <t>BE 2023-24</t>
  </si>
  <si>
    <t xml:space="preserve">S.No. </t>
  </si>
  <si>
    <t xml:space="preserve">F.No. </t>
  </si>
  <si>
    <t>State</t>
  </si>
  <si>
    <t>Name of the Unit</t>
  </si>
  <si>
    <t>PFMS CODE</t>
  </si>
  <si>
    <t xml:space="preserve">SALARY </t>
  </si>
  <si>
    <t>Pension</t>
  </si>
  <si>
    <t>Salary-A</t>
  </si>
  <si>
    <t>Wages -B</t>
  </si>
  <si>
    <t>OTA-C</t>
  </si>
  <si>
    <t>Total Salary-A+B+C</t>
  </si>
  <si>
    <t>Salary-C</t>
  </si>
  <si>
    <t>Wages -D</t>
  </si>
  <si>
    <t>OTA-E</t>
  </si>
  <si>
    <t>Total -C+D+E</t>
  </si>
  <si>
    <t>Salary NEH+ OTHER THAN NEH</t>
  </si>
  <si>
    <t>Excess Salary over Progressive</t>
  </si>
  <si>
    <t>Excess Pension over progressive</t>
  </si>
  <si>
    <t>Other than NEH -Salary</t>
  </si>
  <si>
    <t>NEH-Salary</t>
  </si>
  <si>
    <t>Total Salary=Other than NEH+NEH</t>
  </si>
  <si>
    <t>Matching sheet</t>
  </si>
  <si>
    <t>Pension based on requirement formula</t>
  </si>
  <si>
    <t>PENSION</t>
  </si>
  <si>
    <t>TOTAL</t>
  </si>
  <si>
    <t xml:space="preserve">EXP SALARY </t>
  </si>
  <si>
    <t>EXP PENSION</t>
  </si>
  <si>
    <t>BAL AVAILABLE SAL</t>
  </si>
  <si>
    <t>BAL AVAILABLE PEN</t>
  </si>
  <si>
    <t>REM TWO MONTH REQ SAL</t>
  </si>
  <si>
    <t>REM TWO MONTH REQ PEN</t>
  </si>
  <si>
    <t>salary</t>
  </si>
  <si>
    <t>pension</t>
  </si>
  <si>
    <t>Salary</t>
  </si>
  <si>
    <t>Total</t>
  </si>
  <si>
    <t>Exp till Jan2022_Salary</t>
  </si>
  <si>
    <t>Exp  till jan 2022_Pension</t>
  </si>
  <si>
    <t>REM ONE MONTH REQ SAL</t>
  </si>
  <si>
    <t>REM ONE MONTH REQ PEN</t>
  </si>
  <si>
    <t>REFUND IN PENSION</t>
  </si>
  <si>
    <t>ALLOCATED TO ICAR HQ</t>
  </si>
  <si>
    <t>Maharashtra</t>
  </si>
  <si>
    <t>CICR, Nagpur</t>
  </si>
  <si>
    <t>AICRP on Cotton, CICR, Nagpur</t>
  </si>
  <si>
    <t>6(1)/2018</t>
  </si>
  <si>
    <t>ICAR0430</t>
  </si>
  <si>
    <t>West Bengal</t>
  </si>
  <si>
    <t>CRIJAF, Barrackpore</t>
  </si>
  <si>
    <t>AINPJAF, CRIJAF, Barrackpore</t>
  </si>
  <si>
    <t>6(2)/2018</t>
  </si>
  <si>
    <t>CRIJAF</t>
  </si>
  <si>
    <t>Odhisha</t>
  </si>
  <si>
    <t>NRRI, Cuttack</t>
  </si>
  <si>
    <t>Incentivizing Research in Agriculture, NRRI, Cuttack</t>
  </si>
  <si>
    <t>6(3)/2018</t>
  </si>
  <si>
    <t>CRRICUTTACK</t>
  </si>
  <si>
    <t>Andhra Pradesh</t>
  </si>
  <si>
    <t>CTRI, Rajamundry</t>
  </si>
  <si>
    <t>NETWORK on Tobacco, CTRI, Rajamundry</t>
  </si>
  <si>
    <t>6(4)/2018</t>
  </si>
  <si>
    <t>CTRI</t>
  </si>
  <si>
    <t>New Delhi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</si>
  <si>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</si>
  <si>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</si>
  <si>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</si>
  <si>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</si>
  <si>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</si>
  <si>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AICRP on Honey Bee &amp; Pollinators, New Delhi</t>
  </si>
  <si>
    <t>assam</t>
  </si>
  <si>
    <t>IARI Types Deemed University,  Assam</t>
  </si>
  <si>
    <t xml:space="preserve">IARI </t>
  </si>
  <si>
    <t>Jharkhand</t>
  </si>
  <si>
    <t>IARI Types Deemed University,  Jharkhand</t>
  </si>
  <si>
    <t>6(5)/2018</t>
  </si>
  <si>
    <t>IARI</t>
  </si>
  <si>
    <t>Uttar Pradesh</t>
  </si>
  <si>
    <t>IGFRI, Jhansi</t>
  </si>
  <si>
    <t>AICRP on Forage Crops and Utilization, IGFRI, Jhansi</t>
  </si>
  <si>
    <t>6(6)/2018</t>
  </si>
  <si>
    <t>IGFRI</t>
  </si>
  <si>
    <t>IIPR, Kanpur</t>
  </si>
  <si>
    <t>AICRP on Rabi Pulses(Chickpea, lentil, fieldpea)</t>
  </si>
  <si>
    <t>AICRP on Kharif Pulses(Pigeonpea, mungbean, urdbean, lathyrus, rajmash, cowpea arid lagumes)</t>
  </si>
  <si>
    <t>6(7)/2018</t>
  </si>
  <si>
    <t>IIPRKANPUR</t>
  </si>
  <si>
    <t>IISR, Lucknow</t>
  </si>
  <si>
    <t>AICRP on Sugercane, IISR, Lucknow</t>
  </si>
  <si>
    <t>6(8)/2018</t>
  </si>
  <si>
    <t>IISRLKO</t>
  </si>
  <si>
    <t>NBAIM, Maunath Bhanjan</t>
  </si>
  <si>
    <t>AMAAS, NBAIM, Mau</t>
  </si>
  <si>
    <t>6(9)/2018</t>
  </si>
  <si>
    <t>NBAIM</t>
  </si>
  <si>
    <t>NBPGR, New Delhi</t>
  </si>
  <si>
    <t>AICRP POTENTIAL CROP, NBPGR, New Delhi</t>
  </si>
  <si>
    <t>CRP-AGRO BIODIVERSITY, NBPGR, New Delhi</t>
  </si>
  <si>
    <t>6(10)/2018</t>
  </si>
  <si>
    <t>NBPGR</t>
  </si>
  <si>
    <t>6(11)/2018</t>
  </si>
  <si>
    <t>Tamil Nadu</t>
  </si>
  <si>
    <t>SBI, Coimbatore</t>
  </si>
  <si>
    <t>SBIICAR</t>
  </si>
  <si>
    <t>6(12)/2018</t>
  </si>
  <si>
    <t>Uttarkhand</t>
  </si>
  <si>
    <t>VPKAS, Almora</t>
  </si>
  <si>
    <t>VLAB</t>
  </si>
  <si>
    <t>NRCIPM, New Delhi</t>
  </si>
  <si>
    <t>AICRP on Crop Pest Management(soil arthropod, agri. acrology, vertebrate pest management)</t>
  </si>
  <si>
    <t>AINP on Emerging Pests (UG 99, Wheat Blast, Sclerotinia Stem stem rot, red rot, locust, fall Army Worm)</t>
  </si>
  <si>
    <t>6(13)/2018</t>
  </si>
  <si>
    <t>NCIPM</t>
  </si>
  <si>
    <t>Gujarat</t>
  </si>
  <si>
    <t>DGR, Junagadh</t>
  </si>
  <si>
    <t>AICRP on Groudnut, DGR, Junagadh</t>
  </si>
  <si>
    <t>6(14)/2018</t>
  </si>
  <si>
    <t>DGR-DBT1</t>
  </si>
  <si>
    <t>NIPB, New Delhi</t>
  </si>
  <si>
    <t>Translational Genomics in Crop Plants(TGCP), NIPB, New Delhi</t>
  </si>
  <si>
    <t>AICRP on Bio Tech Crops</t>
  </si>
  <si>
    <t>6(15)/2018</t>
  </si>
  <si>
    <t>NRC Plant Biotechnology, New Delhi</t>
  </si>
  <si>
    <t>NRCPB</t>
  </si>
  <si>
    <t>Rajasthan</t>
  </si>
  <si>
    <t>DR &amp; MR, Bharatpur</t>
  </si>
  <si>
    <t>AICRP on R&amp;M, DR &amp; MR, Bharatpur</t>
  </si>
  <si>
    <t>6(16)/2018</t>
  </si>
  <si>
    <t>ICARNRCRM</t>
  </si>
  <si>
    <t>Telangana</t>
  </si>
  <si>
    <t>IIMR, Hyderabad</t>
  </si>
  <si>
    <t>AICRP on Sorghum and Millets, IIMR, Hyd.</t>
  </si>
  <si>
    <t>6(17)/2018</t>
  </si>
  <si>
    <t>DSRHYD</t>
  </si>
  <si>
    <t>Madhya Pradesh</t>
  </si>
  <si>
    <t>DSR, Indore</t>
  </si>
  <si>
    <t xml:space="preserve">AICRP on Soyabean, Indore </t>
  </si>
  <si>
    <t>6(18)/2018</t>
  </si>
  <si>
    <t>DSR</t>
  </si>
  <si>
    <t>Karnataka</t>
  </si>
  <si>
    <t>NBAIR, Bengaluru</t>
  </si>
  <si>
    <t>AICRP on Biological Control, NBAIR, Benglaluru</t>
  </si>
  <si>
    <t>6(19)/2018</t>
  </si>
  <si>
    <t>NBAII</t>
  </si>
  <si>
    <t>Punjab</t>
  </si>
  <si>
    <t>IIMR, Ludhiana</t>
  </si>
  <si>
    <t>AICRP On Maize, IIMR, Ludhiana</t>
  </si>
  <si>
    <t>6(20)/2018</t>
  </si>
  <si>
    <t>MAIZE</t>
  </si>
  <si>
    <t>IIOR, Hyderabad</t>
  </si>
  <si>
    <t>AICRP on Oilseed(sunflower, safflower, castor, linseed)</t>
  </si>
  <si>
    <t>AICRP on Sesame &amp; Niger, IIOR, Hyderabad</t>
  </si>
  <si>
    <t>6(21)/2018</t>
  </si>
  <si>
    <t>DORH</t>
  </si>
  <si>
    <t>IIRR,  Hyderabad</t>
  </si>
  <si>
    <t>AICRP on Rice, IIRR, Hyderabad</t>
  </si>
  <si>
    <t>CRP on  Rice Biofortification, IIRR, Hyderabad</t>
  </si>
  <si>
    <t>6(22)/2018</t>
  </si>
  <si>
    <t>DRR</t>
  </si>
  <si>
    <t>Haryana</t>
  </si>
  <si>
    <t>IIWBR,  Karnal</t>
  </si>
  <si>
    <t>AICRP on Wheat &amp; Barley, IIWBR, Karnal</t>
  </si>
  <si>
    <t>6(23)/2018</t>
  </si>
  <si>
    <t>DWRKAR</t>
  </si>
  <si>
    <t>IISS, Maunath Bhanjan</t>
  </si>
  <si>
    <t>AICRP on Seed Crops, Mau including ICAR Seed Project</t>
  </si>
  <si>
    <t>6(24)/2018</t>
  </si>
  <si>
    <t>AOSDSR</t>
  </si>
  <si>
    <t>6(26)/2018</t>
  </si>
  <si>
    <t>Chattisgarh</t>
  </si>
  <si>
    <t>NIBSM, Raipur</t>
  </si>
  <si>
    <t>NIBSM</t>
  </si>
  <si>
    <t>6(27)/2018</t>
  </si>
  <si>
    <t>Jharkahand</t>
  </si>
  <si>
    <t>IIAB, Ranchi</t>
  </si>
  <si>
    <t>ININ00000004</t>
  </si>
  <si>
    <t>6(70)/2018</t>
  </si>
  <si>
    <t>National Centre for Honey Bees and Pollinator Research Morena, MP</t>
  </si>
  <si>
    <t>CAZRIJODHPUR</t>
  </si>
  <si>
    <t xml:space="preserve">Total Crop Sciences </t>
  </si>
  <si>
    <t>SC-0085</t>
  </si>
  <si>
    <t>6(28)/2018</t>
  </si>
  <si>
    <t>Andhamand  &amp; Nicobar Islands</t>
  </si>
  <si>
    <t>CIARI, Port Blair</t>
  </si>
  <si>
    <t>CARIPORT</t>
  </si>
  <si>
    <t>CIAH, Bikaner</t>
  </si>
  <si>
    <t>AICRP on AZF, CIAH, Bikaner</t>
  </si>
  <si>
    <t>6(29)/2018</t>
  </si>
  <si>
    <t>CIAH</t>
  </si>
  <si>
    <t>6(30)/2018</t>
  </si>
  <si>
    <t>CISH, Lucknow</t>
  </si>
  <si>
    <t>CISH123</t>
  </si>
  <si>
    <t>6(31)/2018</t>
  </si>
  <si>
    <t>Jammu &amp; Kashmir</t>
  </si>
  <si>
    <t>CITH, Srinagar</t>
  </si>
  <si>
    <t>CITH</t>
  </si>
  <si>
    <t>Kerala</t>
  </si>
  <si>
    <t>CPCRI, Kasaragod</t>
  </si>
  <si>
    <t>AICRP on Palms, CPCRI, Kasaragod</t>
  </si>
  <si>
    <t>6(32)/2018</t>
  </si>
  <si>
    <t>CPCRI</t>
  </si>
  <si>
    <t>Himachal Pradesh</t>
  </si>
  <si>
    <t>CPRI, Shimla</t>
  </si>
  <si>
    <t>AICRP on Potato, CPRI, Shimla</t>
  </si>
  <si>
    <t>6(33)/2018</t>
  </si>
  <si>
    <t>CPRI</t>
  </si>
  <si>
    <t>CTCRI, Thiruvanthapuram</t>
  </si>
  <si>
    <t>AICRP on Tuber Crops, CTCRI, Thiruvanthapuram</t>
  </si>
  <si>
    <t>6(34)/2018</t>
  </si>
  <si>
    <t>CTCRI</t>
  </si>
  <si>
    <t>IIHR, Bangalore</t>
  </si>
  <si>
    <t>AICRP on Fruit, IIHR, Bangalore</t>
  </si>
  <si>
    <t>6(35)/2018</t>
  </si>
  <si>
    <t>IIHR</t>
  </si>
  <si>
    <t>IISR, Calicut</t>
  </si>
  <si>
    <t>AICRP on Spices, IISR, Calicut</t>
  </si>
  <si>
    <t>6(36)/2018</t>
  </si>
  <si>
    <t>IISR</t>
  </si>
  <si>
    <t>IIVR, Varanasi</t>
  </si>
  <si>
    <t>AICRP on Vegetables, IIVR, Varanasi</t>
  </si>
  <si>
    <t>6(37)/2018</t>
  </si>
  <si>
    <t>IIVR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</si>
  <si>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</si>
  <si>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</si>
  <si>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</si>
  <si>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</si>
  <si>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</si>
  <si>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CAXUPES</t>
  </si>
  <si>
    <t>6(40)/2018</t>
  </si>
  <si>
    <t>CCRI, Nagpur</t>
  </si>
  <si>
    <t>NRCC0400</t>
  </si>
  <si>
    <t>6(41)/2018</t>
  </si>
  <si>
    <t>NRC For Grapes, Pune</t>
  </si>
  <si>
    <t>NRCG</t>
  </si>
  <si>
    <t>DMAPR, Anand</t>
  </si>
  <si>
    <t>AICRP on MAP &amp; Betelvine, DMAPR, Anand</t>
  </si>
  <si>
    <t>6(42)/2018</t>
  </si>
  <si>
    <t>NRCMAP</t>
  </si>
  <si>
    <t>Dte. on Mushroom, Solan</t>
  </si>
  <si>
    <t>AICRP on Mushroom, DMR, Solan</t>
  </si>
  <si>
    <t>6(43)/2018</t>
  </si>
  <si>
    <t>DMRS</t>
  </si>
  <si>
    <t>6(44)/2018</t>
  </si>
  <si>
    <t>IIOPR, Pedavegi</t>
  </si>
  <si>
    <t>DOPR1</t>
  </si>
  <si>
    <t>6(45)/2018</t>
  </si>
  <si>
    <t>Dte. on Onion &amp; Garlic, Pune</t>
  </si>
  <si>
    <t>MHPU00014556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</si>
  <si>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</si>
  <si>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</si>
  <si>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</si>
  <si>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</si>
  <si>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</si>
  <si>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</si>
  <si>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</si>
  <si>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</si>
  <si>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LITCHI</t>
  </si>
  <si>
    <t>6(49)/2018</t>
  </si>
  <si>
    <t>NRC for Pomegranate, Solapur</t>
  </si>
  <si>
    <t>MHSO00011522</t>
  </si>
  <si>
    <t>Dte. of Floriculture, Pune</t>
  </si>
  <si>
    <t>AICRP on Floriculture, Dte. of Floriculture, Pune</t>
  </si>
  <si>
    <t>6(50)/2018</t>
  </si>
  <si>
    <t>MHPU00014503</t>
  </si>
  <si>
    <t xml:space="preserve">Total HORTICULTURAL SCIENCES </t>
  </si>
  <si>
    <t>SCHEME CODE-0086</t>
  </si>
  <si>
    <t>6(51)/2018</t>
  </si>
  <si>
    <t>CARI, Izatnagar</t>
  </si>
  <si>
    <t>CARI</t>
  </si>
  <si>
    <t>CIRB, Hissar</t>
  </si>
  <si>
    <t>Network Project on Baffaloes, CIRB, Hissar</t>
  </si>
  <si>
    <t>6(52)/2018</t>
  </si>
  <si>
    <t>CIRB</t>
  </si>
  <si>
    <t>CIRG, Makhdoom</t>
  </si>
  <si>
    <t>AICRP on Goats, CIRG, Makhdoom</t>
  </si>
  <si>
    <t>6(53)/2018</t>
  </si>
  <si>
    <t>CIRG</t>
  </si>
  <si>
    <t>CSWRI, Avikanagar</t>
  </si>
  <si>
    <t>AICRP on Mega Sheep Seed Project, CSWRI, Avikanagar</t>
  </si>
  <si>
    <t>Network on Sheep Improvement, CSWRI, Avikanagar</t>
  </si>
  <si>
    <t>6(54)/2018</t>
  </si>
  <si>
    <t>CSWRI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</si>
  <si>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</si>
  <si>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</si>
  <si>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</si>
  <si>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</si>
  <si>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</si>
  <si>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</si>
  <si>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</si>
  <si>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</si>
  <si>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</si>
  <si>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6(55)/2018</t>
  </si>
  <si>
    <t>IVRI</t>
  </si>
  <si>
    <t>6(56)/2018</t>
  </si>
  <si>
    <t>NIHSAD, Bhopal</t>
  </si>
  <si>
    <t>HSADL</t>
  </si>
  <si>
    <t>NBAGR, Karnal</t>
  </si>
  <si>
    <t>Network Project on Animal Genetic Resources, NBAGR, Karnal</t>
  </si>
  <si>
    <t>6(57)/2018</t>
  </si>
  <si>
    <t>NBAGR</t>
  </si>
  <si>
    <t>6(58)/2018</t>
  </si>
  <si>
    <t>NDRI, Karnal</t>
  </si>
  <si>
    <t>NDRI</t>
  </si>
  <si>
    <t>NIANP, Bangalore</t>
  </si>
  <si>
    <t>AICRP ON NPAERP + OP on Methan Emission, NIANP, Bangalore</t>
  </si>
  <si>
    <t>6(59)/2018</t>
  </si>
  <si>
    <t>NIANP</t>
  </si>
  <si>
    <t>6(60)/2018</t>
  </si>
  <si>
    <t>NRC on Camel, Bikaner</t>
  </si>
  <si>
    <t>NRCCB</t>
  </si>
  <si>
    <t>NRC on Equines, Hissar</t>
  </si>
  <si>
    <t>National Centre for  Veterinary Type Culture Collection, NRC on Equines, Hissar</t>
  </si>
  <si>
    <t>6(61)/2018</t>
  </si>
  <si>
    <t>NRCE</t>
  </si>
  <si>
    <t>6(62)/2018</t>
  </si>
  <si>
    <t>NRC on Meat, Hyderabad</t>
  </si>
  <si>
    <t>NRCM</t>
  </si>
  <si>
    <t>6(63)/2018</t>
  </si>
  <si>
    <t>Nagaland</t>
  </si>
  <si>
    <t>NRC on Mithun</t>
  </si>
  <si>
    <t>NRCMJPN</t>
  </si>
  <si>
    <t>Assam</t>
  </si>
  <si>
    <t>NRC on Pig, Guwahati</t>
  </si>
  <si>
    <t>AICRP on Pig, NRC on Pig, Guwahati</t>
  </si>
  <si>
    <t>Mega seed on Pig, NRC on Pig, Guwahati</t>
  </si>
  <si>
    <t>6(64)/2018</t>
  </si>
  <si>
    <t>NRCPIG</t>
  </si>
  <si>
    <t>6(65)/2018</t>
  </si>
  <si>
    <t>Arunachal Pradesh</t>
  </si>
  <si>
    <t>NRC on Yak, Dirang</t>
  </si>
  <si>
    <t>NRCY</t>
  </si>
  <si>
    <t>6(66)/2018</t>
  </si>
  <si>
    <t>NIVEDI, Bengalore</t>
  </si>
  <si>
    <t>PDADMAS</t>
  </si>
  <si>
    <t>CIRC, Meerut</t>
  </si>
  <si>
    <t>AICRP on Cattle, CIRC, Meerut</t>
  </si>
  <si>
    <t>6(67)/2018</t>
  </si>
  <si>
    <t>pdcattle</t>
  </si>
  <si>
    <t>6(68)/2018</t>
  </si>
  <si>
    <t>Uttarakhand</t>
  </si>
  <si>
    <t>Dte. Of Foot &amp; Mouth Disease, Mukteswar</t>
  </si>
  <si>
    <t>pdfmd</t>
  </si>
  <si>
    <t>Dte. Of Poultry Research, Hyderabad</t>
  </si>
  <si>
    <t>AICRP on Poultry, Dte. Of Poultry Research, Hyderabad</t>
  </si>
  <si>
    <t>Poultry Seed Project, Dte. Of Poultry Research, Hyderabad</t>
  </si>
  <si>
    <t>6(69)/2018</t>
  </si>
  <si>
    <t>PDP</t>
  </si>
  <si>
    <t>TOTAL ANIMAL SCIENCES</t>
  </si>
  <si>
    <t>SCHEME CODE-0089</t>
  </si>
  <si>
    <t>CAZRI, Johdhpur</t>
  </si>
  <si>
    <t>CRIDA,  Hyderabad</t>
  </si>
  <si>
    <t>TILL MARCH</t>
  </si>
  <si>
    <t>AICRP on Dryland Agriculture, CRIDA, Hyderabad</t>
  </si>
  <si>
    <t>AICRP on Agrometeorology, CRIDA, Hyderabad</t>
  </si>
  <si>
    <t>6(71)/2018</t>
  </si>
  <si>
    <t>CRIDA</t>
  </si>
  <si>
    <t>6(72)/2018</t>
  </si>
  <si>
    <t>IIS &amp; WC (CS &amp; WCR &amp; TI), Dehradun</t>
  </si>
  <si>
    <t>CSWCRTIFPARP</t>
  </si>
  <si>
    <t>CSSRI, Karnal</t>
  </si>
  <si>
    <t>PCU-SAS, CSSRI, Karnal</t>
  </si>
  <si>
    <t>6(73)/2018</t>
  </si>
  <si>
    <t>CSRI</t>
  </si>
  <si>
    <t>6(74)/2018</t>
  </si>
  <si>
    <t>Meghalaya</t>
  </si>
  <si>
    <t>ICAR RC For  NEH Region.,Barapani</t>
  </si>
  <si>
    <t>ICARNEH</t>
  </si>
  <si>
    <t>6(75)/2018</t>
  </si>
  <si>
    <t>ICAR Res. Complex for Eastern Region, Patna</t>
  </si>
  <si>
    <t>IRCER</t>
  </si>
  <si>
    <t>6(76)/2018</t>
  </si>
  <si>
    <t>Goa</t>
  </si>
  <si>
    <t>CCARI (ICAR Res. Complex),  Goa</t>
  </si>
  <si>
    <t>ICARRCG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</si>
  <si>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</si>
  <si>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</si>
  <si>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</si>
  <si>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</si>
  <si>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</si>
  <si>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</si>
  <si>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</si>
  <si>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IISSBHOPAL</t>
  </si>
  <si>
    <t>6(78)/2018</t>
  </si>
  <si>
    <t>NBSS &amp; LUP, Nagpur</t>
  </si>
  <si>
    <t>NBSSLUP</t>
  </si>
  <si>
    <t>CARI,Jhansi</t>
  </si>
  <si>
    <t>AICRP on Agroforestry, CARI, Jhansi</t>
  </si>
  <si>
    <t>6(79)/2018</t>
  </si>
  <si>
    <t>NRCAF</t>
  </si>
  <si>
    <t>IIWM, Bhubaneshwar</t>
  </si>
  <si>
    <t>AICRP on IWM,  IIWM, Bhubaneshwar</t>
  </si>
  <si>
    <t>CRP on Water, IIWM, Bhubaneshwar</t>
  </si>
  <si>
    <t>6(80)/2018</t>
  </si>
  <si>
    <t>DWM</t>
  </si>
  <si>
    <t>6(81)/2018</t>
  </si>
  <si>
    <t>NRC on Integrated Farming, Motihari (MGIFRI)</t>
  </si>
  <si>
    <t>BREC00004661</t>
  </si>
  <si>
    <t>Dte. Of Weed Research, Jabalpur</t>
  </si>
  <si>
    <t>AICRP on Weed Management, DWR, Jabalpur</t>
  </si>
  <si>
    <t>6(82)/2018</t>
  </si>
  <si>
    <t>VC00119625</t>
  </si>
  <si>
    <t>IIFSR, Modipuram</t>
  </si>
  <si>
    <t>AICRP on Integragted Farming System, IIFSR, Modipuram</t>
  </si>
  <si>
    <t>Network Project on Organic Farming, IIFSR, Modipuram</t>
  </si>
  <si>
    <t>6(83)/2018</t>
  </si>
  <si>
    <t>IIFSR</t>
  </si>
  <si>
    <t>6(84)/2018</t>
  </si>
  <si>
    <t>NIASM, Baramati</t>
  </si>
  <si>
    <t>NIASM</t>
  </si>
  <si>
    <t>TOTAL NRM DIVISION</t>
  </si>
  <si>
    <t>SCHEME CODE-1271</t>
  </si>
  <si>
    <t>NICRA,  Hyderabad</t>
  </si>
  <si>
    <t>6(85)/2018</t>
  </si>
  <si>
    <t>TOTAL CRAI/NICRA</t>
  </si>
  <si>
    <t>SCHEME CODE-1410</t>
  </si>
  <si>
    <t>CIBA, Chennai</t>
  </si>
  <si>
    <t>AINP on Fish Health,  CIBA, Chennai</t>
  </si>
  <si>
    <t>6(86)/2018</t>
  </si>
  <si>
    <t>CIBA</t>
  </si>
  <si>
    <t>6(87)/2018</t>
  </si>
  <si>
    <t>CIFRI, Barrackpore</t>
  </si>
  <si>
    <t xml:space="preserve">ICARUNITCIFRI   </t>
  </si>
  <si>
    <t>feb march</t>
  </si>
  <si>
    <t>6(88)/2018</t>
  </si>
  <si>
    <t>CIFA, Bhubaneshwar</t>
  </si>
  <si>
    <t>CIFA</t>
  </si>
  <si>
    <t>6(89)/2018</t>
  </si>
  <si>
    <t>CIFE, Mumbai</t>
  </si>
  <si>
    <t>CIFE</t>
  </si>
  <si>
    <t>6(90)/2018</t>
  </si>
  <si>
    <t>CIFT, Kochi</t>
  </si>
  <si>
    <t>CIFT</t>
  </si>
  <si>
    <t>CMFRI, Kochi</t>
  </si>
  <si>
    <t xml:space="preserve"> ANIP Mericulture, CMFRI, Kochi</t>
  </si>
  <si>
    <t>6(91)/2018</t>
  </si>
  <si>
    <t>CMFRI</t>
  </si>
  <si>
    <t xml:space="preserve">NBFGR, Lucknow </t>
  </si>
  <si>
    <t xml:space="preserve">CRP Genomics, NBFGR, Lucknow </t>
  </si>
  <si>
    <t>6(92)/2018</t>
  </si>
  <si>
    <t>NBFGR</t>
  </si>
  <si>
    <t>6(93)/2018</t>
  </si>
  <si>
    <t>Dte. Of Coldwater Fisheries Research, Bhimtal</t>
  </si>
  <si>
    <t>DCFR</t>
  </si>
  <si>
    <t xml:space="preserve">TOTAL FISHEREIES </t>
  </si>
  <si>
    <t>SCHEME CODE-0090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</si>
  <si>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</si>
  <si>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</si>
  <si>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</si>
  <si>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</si>
  <si>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</si>
  <si>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</si>
  <si>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</si>
  <si>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</si>
  <si>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>CIAEBPL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</si>
  <si>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</si>
  <si>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</si>
  <si>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</si>
  <si>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</si>
  <si>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>6(95)/2018</t>
  </si>
  <si>
    <t>CIPHET</t>
  </si>
  <si>
    <t xml:space="preserve">CIRCOT, Mumbai </t>
  </si>
  <si>
    <t>CRP on Natural Fibres, CIRCOT, Mumbai</t>
  </si>
  <si>
    <t>6(96)/2018</t>
  </si>
  <si>
    <t>CIRCOT</t>
  </si>
  <si>
    <t xml:space="preserve">IINRG, Ranchi </t>
  </si>
  <si>
    <t xml:space="preserve">NWP on HP VANR&amp;G, IINRG, Ranchi </t>
  </si>
  <si>
    <t xml:space="preserve">NWP on CLIGR, IINRG, Ranchi  </t>
  </si>
  <si>
    <t>6(97)/2018</t>
  </si>
  <si>
    <t>SBIN0009011</t>
  </si>
  <si>
    <t>6(98)/2018</t>
  </si>
  <si>
    <t xml:space="preserve">NIRJAFT, Kolkata </t>
  </si>
  <si>
    <t>NIRJAFT</t>
  </si>
  <si>
    <t>TOTAL AGRICULTURAL ENGINEERING</t>
  </si>
  <si>
    <t>SCHEME CODE-0088</t>
  </si>
  <si>
    <t>6(99)/2018</t>
  </si>
  <si>
    <t>IASRI including CABin, New Delhi</t>
  </si>
  <si>
    <t>IASRI</t>
  </si>
  <si>
    <t>6(100)/2018</t>
  </si>
  <si>
    <t>NIAP &amp; PR, New Delhi</t>
  </si>
  <si>
    <t>NCAP</t>
  </si>
  <si>
    <t>TOTAL ECO. STATISTICS &amp;MANAGEMENT</t>
  </si>
  <si>
    <t>SCHEME CODE-0091</t>
  </si>
  <si>
    <t>6(101)/2018</t>
  </si>
  <si>
    <t>NAARM, Hyderabad</t>
  </si>
  <si>
    <t>NAARM</t>
  </si>
  <si>
    <t xml:space="preserve">CIWA, Bhubaneshwar </t>
  </si>
  <si>
    <t>AICRP on Home Science, CIWA, Bhubaneshwar</t>
  </si>
  <si>
    <t>6(103)/2018</t>
  </si>
  <si>
    <t>DRWA</t>
  </si>
  <si>
    <t>6(102)/2018</t>
  </si>
  <si>
    <t>Agricultural Education</t>
  </si>
  <si>
    <t>DLIN00000307</t>
  </si>
  <si>
    <t>TOTAL AG. EDUCATION DIVISION</t>
  </si>
  <si>
    <t>SCHEME CODE-0093</t>
  </si>
  <si>
    <t>HEADQUARTERS UNIT - Krishi Bhawan</t>
  </si>
  <si>
    <t>EXTRA MURAL FUND</t>
  </si>
  <si>
    <t>AUDITORIUM</t>
  </si>
  <si>
    <t>SOCIETIES/AWARD</t>
  </si>
  <si>
    <t>NASM</t>
  </si>
  <si>
    <t>INT. COOP - CGIAR</t>
  </si>
  <si>
    <t>HRM</t>
  </si>
  <si>
    <t>Publicity and Public Relations</t>
  </si>
  <si>
    <t>CERA</t>
  </si>
  <si>
    <t>CREATION AND MAINTENANCE OF INFRASTRUCTURE</t>
  </si>
  <si>
    <t>EVALUATION OF SCHEMES</t>
  </si>
  <si>
    <t>Disaster &amp; Emergency Fund</t>
  </si>
  <si>
    <t xml:space="preserve">Research data Repository </t>
  </si>
  <si>
    <t>SAP</t>
  </si>
  <si>
    <t>6(105)/2018</t>
  </si>
  <si>
    <t>ICAR</t>
  </si>
  <si>
    <t>6(107)/2018</t>
  </si>
  <si>
    <t>NAIF, New Delhi</t>
  </si>
  <si>
    <t>DLIN00000359</t>
  </si>
  <si>
    <t>TOTAL ICAR HQRS.</t>
  </si>
  <si>
    <t>SCHEME CODE-1270</t>
  </si>
  <si>
    <t>6(108)/2018</t>
  </si>
  <si>
    <t>NASF</t>
  </si>
  <si>
    <t>DLIN00000356</t>
  </si>
  <si>
    <t xml:space="preserve">TOTAL NASF </t>
  </si>
  <si>
    <t>SCHEME CODE-0097</t>
  </si>
  <si>
    <t>6(109)/2018</t>
  </si>
  <si>
    <t xml:space="preserve">DKMA, New Delhi </t>
  </si>
  <si>
    <t>DLND00001925</t>
  </si>
  <si>
    <t>6(110)/2018</t>
  </si>
  <si>
    <t>ATARI ZONE-I, Ludhiana</t>
  </si>
  <si>
    <t>PBLU00001252</t>
  </si>
  <si>
    <t>6(111)/2018</t>
  </si>
  <si>
    <t>ATARI ZONE-II, Jodhpur</t>
  </si>
  <si>
    <t>RJJO00006157</t>
  </si>
  <si>
    <t>6(112)/2018</t>
  </si>
  <si>
    <t>ATARI ZONE-III, Kanpur</t>
  </si>
  <si>
    <t>UPKS00005951</t>
  </si>
  <si>
    <t>6(113)/2018</t>
  </si>
  <si>
    <t>ATARI ZONE-IV, Patna</t>
  </si>
  <si>
    <t>BRPA00005506</t>
  </si>
  <si>
    <t>6(114)/2018</t>
  </si>
  <si>
    <t>ATARI ZONE-V, Kolkata</t>
  </si>
  <si>
    <t>WBPN00007525</t>
  </si>
  <si>
    <t>6(115)/2018</t>
  </si>
  <si>
    <t>ATARI ZONE-VI, Guwahati</t>
  </si>
  <si>
    <t>ASKR00008584</t>
  </si>
  <si>
    <t>6(116)/2018</t>
  </si>
  <si>
    <t>ATARI ZONE-VII, Barapani</t>
  </si>
  <si>
    <t>MLRB00001040</t>
  </si>
  <si>
    <t>6(117)/2018</t>
  </si>
  <si>
    <t>ATARI ZONE-VIII, Pune</t>
  </si>
  <si>
    <t>MHPU00014544</t>
  </si>
  <si>
    <t>6(118)/2018</t>
  </si>
  <si>
    <t>ATARI ZONE-IX, Jabalpur</t>
  </si>
  <si>
    <t>MPJA00004614</t>
  </si>
  <si>
    <t>6(119)/2018</t>
  </si>
  <si>
    <t>ATARI ZONE-X, Hyderabad</t>
  </si>
  <si>
    <t>TLHY00000637</t>
  </si>
  <si>
    <t>6(120)/2018</t>
  </si>
  <si>
    <t>ATARI ZONE-XI, Bengalore</t>
  </si>
  <si>
    <t>KABN00002107</t>
  </si>
  <si>
    <t>FARMER FIRST</t>
  </si>
  <si>
    <t>ARYA PROJECT (EXT TO DKMA)</t>
  </si>
  <si>
    <t xml:space="preserve">ARYA PROJECT </t>
  </si>
  <si>
    <t>NETWORK PROJECT</t>
  </si>
  <si>
    <t>DISASTER MGMT.</t>
  </si>
  <si>
    <t>TOTAL AGRICULTURAL EXTENSION</t>
  </si>
  <si>
    <t>SCHEME CODE-0092</t>
  </si>
  <si>
    <t>6(124)/2018</t>
  </si>
  <si>
    <t>NAHEP (EAP)</t>
  </si>
  <si>
    <t>DLND00003279</t>
  </si>
  <si>
    <t>GRAND TOTAL</t>
  </si>
  <si>
    <t>SALARY</t>
  </si>
  <si>
    <t xml:space="preserve">drawal </t>
  </si>
  <si>
    <t>BE 2022</t>
  </si>
  <si>
    <t>GENERAL</t>
  </si>
  <si>
    <t>BALANCE LEFT</t>
  </si>
  <si>
    <t>GENERAL FOR ICAR HQR</t>
  </si>
  <si>
    <t>Grn</t>
  </si>
  <si>
    <t>sal</t>
  </si>
  <si>
    <t>recoup</t>
  </si>
  <si>
    <t>January month bill 2023</t>
  </si>
  <si>
    <t>ADDITIONAL FUNDS TILL JANUARY</t>
  </si>
  <si>
    <t>February month bill 2023</t>
  </si>
  <si>
    <t>(RS. IN LAKH)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</si>
</sst>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"/>
  </numFmts>
  <fonts count="2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name val="Calibri"/>
      <family val="2"/>
      <scheme val="minor"/>
    </font>
    <font>
      <i/>
      <sz val="11"/>
      <color indexed="8"/>
      <name val="Times New Roman"/>
      <family val="1"/>
    </font>
    <font>
      <sz val="14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1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92D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DE9D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6">
    <xf numFmtId="0" fontId="0" fillId="0" borderId="0" xfId="0"/>
    <xf numFmtId="0" fontId="0" fillId="3" borderId="0" xfId="0" applyFill="1" applyAlignment="1">
      <alignment vertical="top"/>
    </xf>
    <xf numFmtId="2" fontId="3" fillId="4" borderId="1" xfId="0" applyNumberFormat="1" applyFont="1" applyFill="1" applyBorder="1"/>
    <xf numFmtId="2" fontId="3" fillId="4" borderId="2" xfId="0" applyNumberFormat="1" applyFont="1" applyFill="1" applyBorder="1"/>
    <xf numFmtId="2" fontId="0" fillId="3" borderId="2" xfId="0" applyNumberFormat="1" applyFill="1" applyBorder="1" applyAlignment="1">
      <alignment vertical="top"/>
    </xf>
    <xf numFmtId="2" fontId="0" fillId="0" borderId="0" xfId="0" applyNumberFormat="1"/>
    <xf numFmtId="2" fontId="0" fillId="0" borderId="2" xfId="0" applyNumberFormat="1" applyBorder="1"/>
    <xf numFmtId="0" fontId="0" fillId="0" borderId="2" xfId="0" applyBorder="1"/>
    <xf numFmtId="0" fontId="4" fillId="5" borderId="2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2" fontId="4" fillId="5" borderId="2" xfId="0" applyNumberFormat="1" applyFont="1" applyFill="1" applyBorder="1" applyAlignment="1">
      <alignment horizontal="left" vertical="top" wrapText="1"/>
    </xf>
    <xf numFmtId="2" fontId="4" fillId="5" borderId="2" xfId="0" applyNumberFormat="1" applyFont="1" applyFill="1" applyBorder="1" applyAlignment="1">
      <alignment horizontal="center" vertical="top" wrapText="1"/>
    </xf>
    <xf numFmtId="2" fontId="4" fillId="5" borderId="3" xfId="0" applyNumberFormat="1" applyFont="1" applyFill="1" applyBorder="1" applyAlignment="1">
      <alignment horizontal="center" vertical="top" wrapText="1"/>
    </xf>
    <xf numFmtId="2" fontId="4" fillId="5" borderId="4" xfId="0" applyNumberFormat="1" applyFont="1" applyFill="1" applyBorder="1" applyAlignment="1">
      <alignment horizontal="center" vertical="top" wrapText="1"/>
    </xf>
    <xf numFmtId="2" fontId="4" fillId="5" borderId="5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center"/>
    </xf>
    <xf numFmtId="9" fontId="0" fillId="0" borderId="0" xfId="0" applyNumberFormat="1"/>
    <xf numFmtId="0" fontId="3" fillId="0" borderId="0" xfId="0" applyFont="1"/>
    <xf numFmtId="2" fontId="3" fillId="0" borderId="2" xfId="0" applyNumberFormat="1" applyFont="1" applyBorder="1"/>
    <xf numFmtId="0" fontId="0" fillId="0" borderId="1" xfId="0" applyBorder="1" applyAlignment="1">
      <alignment horizontal="center" wrapText="1"/>
    </xf>
    <xf numFmtId="0" fontId="5" fillId="6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2" fontId="5" fillId="6" borderId="2" xfId="0" applyNumberFormat="1" applyFont="1" applyFill="1" applyBorder="1" applyAlignment="1">
      <alignment horizontal="center" vertical="top" wrapText="1"/>
    </xf>
    <xf numFmtId="2" fontId="0" fillId="3" borderId="2" xfId="0" applyNumberForma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vertical="top" wrapText="1"/>
    </xf>
    <xf numFmtId="2" fontId="3" fillId="3" borderId="8" xfId="0" applyNumberFormat="1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vertical="top" wrapText="1"/>
    </xf>
    <xf numFmtId="2" fontId="3" fillId="3" borderId="4" xfId="0" applyNumberFormat="1" applyFont="1" applyFill="1" applyBorder="1" applyAlignment="1">
      <alignment vertical="top" wrapText="1"/>
    </xf>
    <xf numFmtId="2" fontId="3" fillId="7" borderId="5" xfId="0" applyNumberFormat="1" applyFont="1" applyFill="1" applyBorder="1" applyAlignment="1">
      <alignment vertical="top" wrapText="1"/>
    </xf>
    <xf numFmtId="2" fontId="5" fillId="7" borderId="2" xfId="0" applyNumberFormat="1" applyFont="1" applyFill="1" applyBorder="1"/>
    <xf numFmtId="2" fontId="5" fillId="7" borderId="2" xfId="0" applyNumberFormat="1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top"/>
    </xf>
    <xf numFmtId="2" fontId="7" fillId="4" borderId="2" xfId="0" applyNumberFormat="1" applyFont="1" applyFill="1" applyBorder="1" applyAlignment="1">
      <alignment horizontal="left" vertical="top" wrapText="1"/>
    </xf>
    <xf numFmtId="2" fontId="7" fillId="4" borderId="2" xfId="0" applyNumberFormat="1" applyFont="1" applyFill="1" applyBorder="1" applyAlignment="1">
      <alignment horizontal="center" vertical="top" wrapText="1"/>
    </xf>
    <xf numFmtId="2" fontId="0" fillId="4" borderId="2" xfId="0" applyNumberFormat="1" applyFill="1" applyBorder="1" applyAlignment="1">
      <alignment vertical="top"/>
    </xf>
    <xf numFmtId="2" fontId="0" fillId="4" borderId="2" xfId="0" applyNumberFormat="1" applyFill="1" applyBorder="1" applyAlignment="1">
      <alignment vertical="center"/>
    </xf>
    <xf numFmtId="2" fontId="0" fillId="5" borderId="2" xfId="0" applyNumberFormat="1" applyFill="1" applyBorder="1"/>
    <xf numFmtId="2" fontId="0" fillId="4" borderId="2" xfId="0" applyNumberFormat="1" applyFill="1" applyBorder="1"/>
    <xf numFmtId="2" fontId="0" fillId="7" borderId="2" xfId="0" applyNumberFormat="1" applyFill="1" applyBorder="1"/>
    <xf numFmtId="2" fontId="0" fillId="9" borderId="0" xfId="0" applyNumberFormat="1" applyFill="1"/>
    <xf numFmtId="2" fontId="3" fillId="8" borderId="2" xfId="0" applyNumberFormat="1" applyFont="1" applyFill="1" applyBorder="1" applyAlignment="1">
      <alignment vertical="top"/>
    </xf>
    <xf numFmtId="2" fontId="9" fillId="10" borderId="10" xfId="1" applyNumberFormat="1" applyFont="1" applyFill="1" applyBorder="1" applyAlignment="1">
      <alignment horizontal="right"/>
    </xf>
    <xf numFmtId="2" fontId="0" fillId="7" borderId="0" xfId="0" applyNumberFormat="1" applyFill="1"/>
    <xf numFmtId="2" fontId="10" fillId="11" borderId="2" xfId="0" applyNumberFormat="1" applyFont="1" applyFill="1" applyBorder="1" applyAlignment="1">
      <alignment horizontal="center" vertical="top" wrapText="1"/>
    </xf>
    <xf numFmtId="2" fontId="0" fillId="8" borderId="2" xfId="0" applyNumberFormat="1" applyFill="1" applyBorder="1" applyAlignment="1">
      <alignment vertical="top"/>
    </xf>
    <xf numFmtId="0" fontId="0" fillId="8" borderId="0" xfId="0" applyFill="1"/>
    <xf numFmtId="2" fontId="0" fillId="0" borderId="2" xfId="0" applyNumberFormat="1" applyBorder="1" applyAlignment="1">
      <alignment vertical="top"/>
    </xf>
    <xf numFmtId="2" fontId="3" fillId="8" borderId="0" xfId="0" applyNumberFormat="1" applyFont="1" applyFill="1" applyAlignment="1">
      <alignment vertical="top"/>
    </xf>
    <xf numFmtId="2" fontId="0" fillId="5" borderId="0" xfId="0" applyNumberFormat="1" applyFill="1"/>
    <xf numFmtId="2" fontId="2" fillId="5" borderId="0" xfId="0" applyNumberFormat="1" applyFont="1" applyFill="1"/>
    <xf numFmtId="2" fontId="3" fillId="12" borderId="2" xfId="0" applyNumberFormat="1" applyFont="1" applyFill="1" applyBorder="1" applyAlignment="1">
      <alignment vertical="top"/>
    </xf>
    <xf numFmtId="2" fontId="11" fillId="4" borderId="2" xfId="0" applyNumberFormat="1" applyFont="1" applyFill="1" applyBorder="1" applyAlignment="1">
      <alignment horizontal="left" vertical="top" wrapText="1"/>
    </xf>
    <xf numFmtId="2" fontId="2" fillId="0" borderId="0" xfId="0" applyNumberFormat="1" applyFont="1"/>
    <xf numFmtId="2" fontId="9" fillId="10" borderId="2" xfId="1" applyNumberFormat="1" applyFont="1" applyFill="1" applyBorder="1" applyAlignment="1" applyProtection="1">
      <protection locked="0"/>
    </xf>
    <xf numFmtId="2" fontId="0" fillId="4" borderId="0" xfId="0" applyNumberFormat="1" applyFill="1"/>
    <xf numFmtId="2" fontId="7" fillId="4" borderId="2" xfId="0" applyNumberFormat="1" applyFont="1" applyFill="1" applyBorder="1" applyAlignment="1">
      <alignment horizontal="left" vertical="top"/>
    </xf>
    <xf numFmtId="2" fontId="3" fillId="13" borderId="2" xfId="0" applyNumberFormat="1" applyFont="1" applyFill="1" applyBorder="1" applyAlignment="1">
      <alignment vertical="top"/>
    </xf>
    <xf numFmtId="164" fontId="16" fillId="14" borderId="10" xfId="0" applyNumberFormat="1" applyFont="1" applyFill="1" applyBorder="1" applyAlignment="1">
      <alignment horizontal="right"/>
    </xf>
    <xf numFmtId="2" fontId="0" fillId="13" borderId="2" xfId="0" applyNumberFormat="1" applyFill="1" applyBorder="1" applyAlignment="1">
      <alignment vertical="top"/>
    </xf>
    <xf numFmtId="0" fontId="0" fillId="5" borderId="0" xfId="0" applyFill="1"/>
    <xf numFmtId="2" fontId="3" fillId="8" borderId="4" xfId="0" applyNumberFormat="1" applyFont="1" applyFill="1" applyBorder="1" applyAlignment="1">
      <alignment vertical="top"/>
    </xf>
    <xf numFmtId="2" fontId="4" fillId="4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/>
    </xf>
    <xf numFmtId="2" fontId="4" fillId="4" borderId="2" xfId="0" applyNumberFormat="1" applyFont="1" applyFill="1" applyBorder="1" applyAlignment="1">
      <alignment horizontal="center" vertical="top" wrapText="1"/>
    </xf>
    <xf numFmtId="2" fontId="3" fillId="4" borderId="2" xfId="0" applyNumberFormat="1" applyFont="1" applyFill="1" applyBorder="1" applyAlignment="1">
      <alignment vertical="top"/>
    </xf>
    <xf numFmtId="2" fontId="3" fillId="4" borderId="2" xfId="0" applyNumberFormat="1" applyFont="1" applyFill="1" applyBorder="1" applyAlignment="1">
      <alignment vertical="center"/>
    </xf>
    <xf numFmtId="2" fontId="2" fillId="4" borderId="2" xfId="0" applyNumberFormat="1" applyFont="1" applyFill="1" applyBorder="1"/>
    <xf numFmtId="0" fontId="19" fillId="4" borderId="2" xfId="0" applyFont="1" applyFill="1" applyBorder="1" applyAlignment="1">
      <alignment horizontal="center" vertical="top"/>
    </xf>
    <xf numFmtId="2" fontId="20" fillId="4" borderId="2" xfId="0" applyNumberFormat="1" applyFont="1" applyFill="1" applyBorder="1"/>
    <xf numFmtId="2" fontId="0" fillId="13" borderId="4" xfId="0" applyNumberFormat="1" applyFill="1" applyBorder="1" applyAlignment="1">
      <alignment vertical="top"/>
    </xf>
    <xf numFmtId="2" fontId="21" fillId="11" borderId="0" xfId="0" applyNumberFormat="1" applyFont="1" applyFill="1" applyAlignment="1">
      <alignment horizontal="right" wrapText="1"/>
    </xf>
    <xf numFmtId="2" fontId="22" fillId="12" borderId="2" xfId="0" applyNumberFormat="1" applyFont="1" applyFill="1" applyBorder="1"/>
    <xf numFmtId="2" fontId="8" fillId="14" borderId="10" xfId="0" applyNumberFormat="1" applyFont="1" applyFill="1" applyBorder="1"/>
    <xf numFmtId="2" fontId="3" fillId="13" borderId="4" xfId="0" applyNumberFormat="1" applyFont="1" applyFill="1" applyBorder="1" applyAlignment="1">
      <alignment vertical="top"/>
    </xf>
    <xf numFmtId="0" fontId="6" fillId="4" borderId="3" xfId="0" applyFont="1" applyFill="1" applyBorder="1" applyAlignment="1">
      <alignment horizontal="center" vertical="top"/>
    </xf>
    <xf numFmtId="2" fontId="3" fillId="8" borderId="2" xfId="0" applyNumberFormat="1" applyFont="1" applyFill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2" fontId="0" fillId="0" borderId="2" xfId="0" applyNumberFormat="1" applyBorder="1" applyAlignment="1">
      <alignment horizontal="left" vertical="top" wrapText="1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wrapText="1"/>
    </xf>
    <xf numFmtId="2" fontId="3" fillId="0" borderId="0" xfId="0" applyNumberFormat="1" applyFont="1" applyAlignment="1">
      <alignment wrapText="1"/>
    </xf>
    <xf numFmtId="2" fontId="3" fillId="7" borderId="0" xfId="0" applyNumberFormat="1" applyFont="1" applyFill="1"/>
    <xf numFmtId="165" fontId="0" fillId="0" borderId="2" xfId="0" applyNumberFormat="1" applyBorder="1"/>
    <xf numFmtId="2" fontId="0" fillId="0" borderId="0" xfId="0" applyNumberFormat="1" applyAlignment="1">
      <alignment vertical="top"/>
    </xf>
    <xf numFmtId="0" fontId="5" fillId="4" borderId="3" xfId="0" applyFont="1" applyFill="1" applyBorder="1" applyAlignment="1">
      <alignment horizontal="center" vertical="top"/>
    </xf>
    <xf numFmtId="0" fontId="0" fillId="4" borderId="0" xfId="0" applyFill="1"/>
    <xf numFmtId="2" fontId="0" fillId="4" borderId="3" xfId="0" applyNumberFormat="1" applyFill="1" applyBorder="1"/>
    <xf numFmtId="164" fontId="8" fillId="4" borderId="10" xfId="0" applyNumberFormat="1" applyFont="1" applyFill="1" applyBorder="1" applyAlignment="1">
      <alignment horizontal="right"/>
    </xf>
    <xf numFmtId="2" fontId="8" fillId="4" borderId="10" xfId="0" applyNumberFormat="1" applyFont="1" applyFill="1" applyBorder="1"/>
    <xf numFmtId="2" fontId="3" fillId="4" borderId="3" xfId="0" applyNumberFormat="1" applyFont="1" applyFill="1" applyBorder="1" applyAlignment="1">
      <alignment vertical="top"/>
    </xf>
    <xf numFmtId="164" fontId="9" fillId="4" borderId="10" xfId="1" applyNumberFormat="1" applyFont="1" applyFill="1" applyBorder="1" applyAlignment="1">
      <alignment horizontal="right"/>
    </xf>
    <xf numFmtId="2" fontId="9" fillId="4" borderId="10" xfId="1" applyNumberFormat="1" applyFont="1" applyFill="1" applyBorder="1" applyAlignment="1">
      <alignment horizontal="right"/>
    </xf>
    <xf numFmtId="2" fontId="8" fillId="4" borderId="10" xfId="0" applyNumberFormat="1" applyFont="1" applyFill="1" applyBorder="1" applyAlignment="1">
      <alignment horizontal="right"/>
    </xf>
    <xf numFmtId="2" fontId="8" fillId="4" borderId="11" xfId="0" applyNumberFormat="1" applyFont="1" applyFill="1" applyBorder="1" applyAlignment="1">
      <alignment horizontal="right"/>
    </xf>
    <xf numFmtId="2" fontId="8" fillId="4" borderId="11" xfId="0" applyNumberFormat="1" applyFont="1" applyFill="1" applyBorder="1"/>
    <xf numFmtId="2" fontId="0" fillId="4" borderId="3" xfId="0" applyNumberFormat="1" applyFill="1" applyBorder="1" applyAlignment="1">
      <alignment vertical="top"/>
    </xf>
    <xf numFmtId="2" fontId="8" fillId="15" borderId="10" xfId="0" applyNumberFormat="1" applyFont="1" applyFill="1" applyBorder="1"/>
    <xf numFmtId="164" fontId="8" fillId="15" borderId="10" xfId="0" applyNumberFormat="1" applyFont="1" applyFill="1" applyBorder="1" applyAlignment="1">
      <alignment horizontal="right"/>
    </xf>
    <xf numFmtId="2" fontId="12" fillId="16" borderId="2" xfId="0" applyNumberFormat="1" applyFont="1" applyFill="1" applyBorder="1" applyAlignment="1">
      <alignment horizontal="left" vertical="top" wrapText="1"/>
    </xf>
    <xf numFmtId="2" fontId="9" fillId="4" borderId="2" xfId="1" applyNumberFormat="1" applyFont="1" applyFill="1" applyBorder="1" applyAlignment="1" applyProtection="1">
      <protection locked="0"/>
    </xf>
    <xf numFmtId="2" fontId="13" fillId="4" borderId="2" xfId="0" applyNumberFormat="1" applyFont="1" applyFill="1" applyBorder="1" applyAlignment="1" applyProtection="1">
      <alignment horizontal="right" vertical="top" wrapText="1"/>
      <protection locked="0"/>
    </xf>
    <xf numFmtId="0" fontId="8" fillId="4" borderId="10" xfId="0" applyFont="1" applyFill="1" applyBorder="1"/>
    <xf numFmtId="2" fontId="14" fillId="16" borderId="2" xfId="0" applyNumberFormat="1" applyFont="1" applyFill="1" applyBorder="1" applyAlignment="1">
      <alignment horizontal="left" vertical="top" wrapText="1"/>
    </xf>
    <xf numFmtId="2" fontId="15" fillId="4" borderId="0" xfId="0" applyNumberFormat="1" applyFont="1" applyFill="1"/>
    <xf numFmtId="2" fontId="2" fillId="4" borderId="0" xfId="0" applyNumberFormat="1" applyFont="1" applyFill="1"/>
    <xf numFmtId="164" fontId="8" fillId="4" borderId="12" xfId="0" applyNumberFormat="1" applyFont="1" applyFill="1" applyBorder="1" applyAlignment="1">
      <alignment horizontal="right"/>
    </xf>
    <xf numFmtId="2" fontId="8" fillId="4" borderId="0" xfId="0" applyNumberFormat="1" applyFont="1" applyFill="1"/>
    <xf numFmtId="2" fontId="16" fillId="4" borderId="10" xfId="0" applyNumberFormat="1" applyFont="1" applyFill="1" applyBorder="1"/>
    <xf numFmtId="164" fontId="16" fillId="4" borderId="10" xfId="0" applyNumberFormat="1" applyFont="1" applyFill="1" applyBorder="1" applyAlignment="1">
      <alignment horizontal="right"/>
    </xf>
    <xf numFmtId="2" fontId="16" fillId="15" borderId="10" xfId="0" applyNumberFormat="1" applyFont="1" applyFill="1" applyBorder="1"/>
    <xf numFmtId="2" fontId="17" fillId="4" borderId="2" xfId="0" applyNumberFormat="1" applyFont="1" applyFill="1" applyBorder="1"/>
    <xf numFmtId="2" fontId="8" fillId="4" borderId="12" xfId="0" applyNumberFormat="1" applyFont="1" applyFill="1" applyBorder="1"/>
    <xf numFmtId="2" fontId="18" fillId="4" borderId="2" xfId="0" applyNumberFormat="1" applyFont="1" applyFill="1" applyBorder="1"/>
    <xf numFmtId="164" fontId="16" fillId="15" borderId="10" xfId="0" applyNumberFormat="1" applyFont="1" applyFill="1" applyBorder="1" applyAlignment="1">
      <alignment horizontal="right"/>
    </xf>
    <xf numFmtId="164" fontId="15" fillId="4" borderId="0" xfId="0" applyNumberFormat="1" applyFont="1" applyFill="1"/>
    <xf numFmtId="2" fontId="4" fillId="4" borderId="2" xfId="0" applyNumberFormat="1" applyFont="1" applyFill="1" applyBorder="1" applyAlignment="1">
      <alignment horizontal="left" vertical="top"/>
    </xf>
    <xf numFmtId="2" fontId="22" fillId="4" borderId="2" xfId="0" applyNumberFormat="1" applyFont="1" applyFill="1" applyBorder="1"/>
    <xf numFmtId="2" fontId="22" fillId="4" borderId="2" xfId="0" applyNumberFormat="1" applyFont="1" applyFill="1" applyBorder="1" applyAlignment="1">
      <alignment vertical="center"/>
    </xf>
    <xf numFmtId="2" fontId="22" fillId="4" borderId="3" xfId="0" applyNumberFormat="1" applyFont="1" applyFill="1" applyBorder="1"/>
    <xf numFmtId="2" fontId="3" fillId="4" borderId="3" xfId="0" applyNumberFormat="1" applyFont="1" applyFill="1" applyBorder="1" applyAlignment="1">
      <alignment vertical="center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2" xfId="0" applyNumberFormat="1" applyFont="1" applyFill="1" applyBorder="1" applyAlignment="1">
      <alignment horizontal="left" vertical="center"/>
    </xf>
    <xf numFmtId="2" fontId="3" fillId="4" borderId="3" xfId="0" applyNumberFormat="1" applyFont="1" applyFill="1" applyBorder="1" applyAlignment="1">
      <alignment horizontal="left" vertical="top"/>
    </xf>
    <xf numFmtId="2" fontId="23" fillId="4" borderId="2" xfId="0" applyNumberFormat="1" applyFont="1" applyFill="1" applyBorder="1" applyAlignment="1">
      <alignment horizontal="center" vertical="center"/>
    </xf>
    <xf numFmtId="2" fontId="9" fillId="4" borderId="2" xfId="0" applyNumberFormat="1" applyFont="1" applyFill="1" applyBorder="1" applyAlignment="1">
      <alignment vertical="center"/>
    </xf>
    <xf numFmtId="2" fontId="8" fillId="15" borderId="10" xfId="0" applyNumberFormat="1" applyFont="1" applyFill="1" applyBorder="1" applyAlignment="1">
      <alignment horizontal="right"/>
    </xf>
    <xf numFmtId="2" fontId="5" fillId="4" borderId="3" xfId="0" applyNumberFormat="1" applyFont="1" applyFill="1" applyBorder="1" applyAlignment="1">
      <alignment horizontal="center" vertical="top"/>
    </xf>
    <xf numFmtId="2" fontId="9" fillId="4" borderId="11" xfId="1" applyNumberFormat="1" applyFont="1" applyFill="1" applyBorder="1" applyAlignment="1">
      <alignment horizontal="right"/>
    </xf>
    <xf numFmtId="2" fontId="9" fillId="4" borderId="3" xfId="1" applyNumberFormat="1" applyFont="1" applyFill="1" applyBorder="1" applyAlignment="1" applyProtection="1">
      <protection locked="0"/>
    </xf>
    <xf numFmtId="2" fontId="9" fillId="10" borderId="13" xfId="1" applyNumberFormat="1" applyFont="1" applyFill="1" applyBorder="1" applyAlignment="1">
      <alignment horizontal="right"/>
    </xf>
    <xf numFmtId="2" fontId="9" fillId="10" borderId="4" xfId="1" applyNumberFormat="1" applyFont="1" applyFill="1" applyBorder="1" applyAlignment="1" applyProtection="1">
      <protection locked="0"/>
    </xf>
    <xf numFmtId="2" fontId="22" fillId="12" borderId="4" xfId="0" applyNumberFormat="1" applyFont="1" applyFill="1" applyBorder="1"/>
    <xf numFmtId="2" fontId="3" fillId="8" borderId="4" xfId="0" applyNumberFormat="1" applyFont="1" applyFill="1" applyBorder="1" applyAlignment="1">
      <alignment horizontal="left" vertical="top"/>
    </xf>
    <xf numFmtId="2" fontId="9" fillId="4" borderId="2" xfId="1" applyNumberFormat="1" applyFont="1" applyFill="1" applyBorder="1" applyAlignment="1">
      <alignment horizontal="right"/>
    </xf>
    <xf numFmtId="2" fontId="3" fillId="0" borderId="0" xfId="0" applyNumberFormat="1" applyFont="1"/>
    <xf numFmtId="2" fontId="3" fillId="0" borderId="2" xfId="0" applyNumberFormat="1" applyFont="1" applyBorder="1" applyAlignment="1">
      <alignment horizontal="center"/>
    </xf>
    <xf numFmtId="2" fontId="4" fillId="5" borderId="3" xfId="0" applyNumberFormat="1" applyFont="1" applyFill="1" applyBorder="1" applyAlignment="1">
      <alignment horizontal="center" vertical="top" wrapText="1"/>
    </xf>
    <xf numFmtId="2" fontId="4" fillId="5" borderId="4" xfId="0" applyNumberFormat="1" applyFont="1" applyFill="1" applyBorder="1" applyAlignment="1">
      <alignment horizontal="center" vertical="top" wrapText="1"/>
    </xf>
    <xf numFmtId="2" fontId="4" fillId="5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2" fontId="4" fillId="5" borderId="5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/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G327"/>
  <sheetViews>
    <sheetView tabSelected="1" view="pageBreakPreview" zoomScale="80" zoomScaleNormal="80" zoomScaleSheetLayoutView="80" workbookViewId="0">
      <pane xSplit="4" ySplit="4" topLeftCell="EC5" activePane="bottomRight" state="frozen"/>
      <selection pane="topRight" activeCell="E1" sqref="E1"/>
      <selection pane="bottomLeft" activeCell="A5" sqref="A5"/>
      <selection pane="bottomRight" activeCell="ED9" sqref="ED9"/>
    </sheetView>
  </sheetViews>
  <sheetFormatPr defaultRowHeight="15" x14ac:dyDescent="0.25"/>
  <cols>
    <col min="1" max="1" width="9.28515625" style="82" bestFit="1" customWidth="1"/>
    <col min="2" max="2" width="15.85546875" style="82" hidden="1" customWidth="1"/>
    <col min="3" max="3" width="21.5703125" style="83" hidden="1" customWidth="1"/>
    <col min="4" max="4" width="54.140625" style="84" customWidth="1"/>
    <col min="5" max="5" width="17.42578125" style="85" hidden="1" customWidth="1"/>
    <col min="6" max="6" width="13.7109375" style="52" hidden="1" customWidth="1"/>
    <col min="7" max="8" width="14.42578125" style="52" hidden="1" customWidth="1"/>
    <col min="9" max="9" width="20.140625" style="52" hidden="1" customWidth="1"/>
    <col min="10" max="10" width="15.5703125" style="90" hidden="1" customWidth="1"/>
    <col min="11" max="11" width="12.42578125" hidden="1" customWidth="1"/>
    <col min="12" max="12" width="9.140625" hidden="1" customWidth="1"/>
    <col min="13" max="13" width="14" hidden="1" customWidth="1"/>
    <col min="14" max="14" width="12.140625" hidden="1" customWidth="1"/>
    <col min="15" max="16" width="9.140625" hidden="1" customWidth="1"/>
    <col min="17" max="17" width="11" hidden="1" customWidth="1"/>
    <col min="18" max="19" width="13.42578125" hidden="1" customWidth="1"/>
    <col min="20" max="20" width="14.28515625" hidden="1" customWidth="1"/>
    <col min="21" max="21" width="14.85546875" hidden="1" customWidth="1"/>
    <col min="22" max="22" width="15.28515625" hidden="1" customWidth="1"/>
    <col min="23" max="23" width="14.42578125" hidden="1" customWidth="1"/>
    <col min="24" max="24" width="17" hidden="1" customWidth="1"/>
    <col min="25" max="29" width="14.42578125" hidden="1" customWidth="1"/>
    <col min="30" max="30" width="15.42578125" hidden="1" customWidth="1"/>
    <col min="31" max="32" width="13.85546875" hidden="1" customWidth="1"/>
    <col min="33" max="33" width="13" style="5" hidden="1" customWidth="1"/>
    <col min="34" max="34" width="12.7109375" style="5" hidden="1" customWidth="1"/>
    <col min="35" max="35" width="13.140625" style="5" hidden="1" customWidth="1"/>
    <col min="36" max="36" width="18.7109375" style="6" hidden="1" customWidth="1"/>
    <col min="37" max="37" width="12.85546875" style="6" hidden="1" customWidth="1"/>
    <col min="38" max="38" width="10.7109375" style="6" hidden="1" customWidth="1"/>
    <col min="39" max="39" width="12.5703125" style="6" hidden="1" customWidth="1"/>
    <col min="40" max="42" width="19.5703125" style="6" hidden="1" customWidth="1"/>
    <col min="43" max="43" width="14" style="6" hidden="1" customWidth="1"/>
    <col min="44" max="53" width="14.28515625" style="6" hidden="1" customWidth="1"/>
    <col min="54" max="58" width="14.28515625" style="5" hidden="1" customWidth="1"/>
    <col min="59" max="59" width="17.140625" style="5" hidden="1" customWidth="1"/>
    <col min="60" max="66" width="14.28515625" style="6" hidden="1" customWidth="1"/>
    <col min="67" max="67" width="15.5703125" style="6" hidden="1" customWidth="1"/>
    <col min="68" max="69" width="14.28515625" style="6" hidden="1" customWidth="1"/>
    <col min="70" max="70" width="17.140625" style="6" hidden="1" customWidth="1"/>
    <col min="71" max="72" width="14.28515625" style="6" hidden="1" customWidth="1"/>
    <col min="73" max="73" width="16.5703125" style="6" hidden="1" customWidth="1"/>
    <col min="74" max="78" width="14.28515625" style="6" hidden="1" customWidth="1"/>
    <col min="79" max="79" width="15.5703125" style="6" hidden="1" customWidth="1"/>
    <col min="80" max="80" width="18.5703125" style="6" hidden="1" customWidth="1"/>
    <col min="81" max="81" width="10" hidden="1" customWidth="1"/>
    <col min="82" max="82" width="12.42578125" hidden="1" customWidth="1"/>
    <col min="83" max="83" width="9.140625" hidden="1" customWidth="1"/>
    <col min="84" max="86" width="9.28515625" hidden="1" customWidth="1"/>
    <col min="87" max="88" width="9.28515625" style="6" hidden="1" customWidth="1"/>
    <col min="89" max="89" width="10" style="6" hidden="1" customWidth="1"/>
    <col min="90" max="92" width="9.28515625" style="6" hidden="1" customWidth="1"/>
    <col min="93" max="93" width="10.5703125" style="6" hidden="1" customWidth="1"/>
    <col min="94" max="94" width="10" style="6" hidden="1" customWidth="1"/>
    <col min="95" max="95" width="10.7109375" style="6" hidden="1" customWidth="1"/>
    <col min="96" max="96" width="9.5703125" style="6" hidden="1" customWidth="1"/>
    <col min="97" max="97" width="9.85546875" style="6" hidden="1" customWidth="1"/>
    <col min="98" max="98" width="11.140625" style="6" hidden="1" customWidth="1"/>
    <col min="99" max="99" width="11.28515625" style="6" hidden="1" customWidth="1"/>
    <col min="100" max="112" width="13.140625" style="6" hidden="1" customWidth="1"/>
    <col min="113" max="114" width="9.140625" style="7" hidden="1" customWidth="1"/>
    <col min="115" max="116" width="9.140625" hidden="1" customWidth="1"/>
    <col min="117" max="132" width="11.28515625" hidden="1" customWidth="1"/>
    <col min="133" max="134" width="11.28515625" customWidth="1"/>
    <col min="135" max="144" width="11.28515625" hidden="1" customWidth="1"/>
    <col min="145" max="145" width="11.28515625" customWidth="1"/>
    <col min="146" max="146" width="14.28515625" customWidth="1"/>
    <col min="147" max="150" width="11.28515625" hidden="1" customWidth="1"/>
    <col min="151" max="152" width="9.140625" hidden="1" customWidth="1"/>
    <col min="153" max="153" width="19.42578125" style="5" hidden="1" customWidth="1"/>
    <col min="154" max="154" width="13.42578125" style="5" hidden="1" customWidth="1"/>
    <col min="155" max="155" width="10.28515625" style="5" hidden="1" customWidth="1"/>
    <col min="156" max="156" width="14.7109375" style="5" hidden="1" customWidth="1"/>
    <col min="157" max="160" width="9.140625" hidden="1" customWidth="1"/>
    <col min="161" max="161" width="19.7109375" hidden="1" customWidth="1"/>
    <col min="162" max="162" width="9.140625" hidden="1" customWidth="1"/>
    <col min="163" max="164" width="9.140625" customWidth="1"/>
  </cols>
  <sheetData>
    <row r="1" spans="1:158" ht="16.5" customHeight="1" x14ac:dyDescent="0.25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58" ht="28.5" customHeight="1" x14ac:dyDescent="0.25">
      <c r="A2" s="8"/>
      <c r="B2" s="8"/>
      <c r="C2" s="9"/>
      <c r="D2" s="10"/>
      <c r="E2" s="11"/>
      <c r="F2" s="143" t="s">
        <v>0</v>
      </c>
      <c r="G2" s="144"/>
      <c r="H2" s="13" t="s">
        <v>1</v>
      </c>
      <c r="I2" s="11"/>
      <c r="J2" s="145" t="s">
        <v>2</v>
      </c>
      <c r="K2" s="145"/>
      <c r="L2" s="145"/>
      <c r="M2" s="145"/>
      <c r="N2" s="145"/>
      <c r="O2" s="145"/>
      <c r="P2" s="145"/>
      <c r="Q2" s="145"/>
      <c r="R2" s="145"/>
      <c r="S2" s="145"/>
      <c r="BE2" s="5" t="e">
        <f>#REF!-AY170</f>
        <v>#REF!</v>
      </c>
      <c r="BI2" s="6">
        <f>280+BI14</f>
        <v>545.32999999999993</v>
      </c>
      <c r="BJ2" s="6">
        <f>+BJ299+2584</f>
        <v>4988.34</v>
      </c>
      <c r="BK2" s="6">
        <f>550-BI14</f>
        <v>284.67</v>
      </c>
      <c r="BM2" s="6">
        <f>21.47-30.12</f>
        <v>-8.6500000000000021</v>
      </c>
      <c r="BU2" s="6">
        <f>+CA166-1201.7</f>
        <v>0</v>
      </c>
      <c r="CB2" s="6" t="s">
        <v>3</v>
      </c>
      <c r="CE2" s="146" t="s">
        <v>4</v>
      </c>
      <c r="CF2" s="146"/>
      <c r="CR2" s="6">
        <f>65.05+22</f>
        <v>87.05</v>
      </c>
      <c r="CT2" s="6">
        <f>7570-CU298</f>
        <v>0</v>
      </c>
      <c r="DI2" s="6"/>
      <c r="DJ2" s="6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>
        <f>241-175</f>
        <v>66</v>
      </c>
      <c r="EL2" s="5"/>
      <c r="EM2" s="5"/>
      <c r="EN2" s="5"/>
      <c r="EO2" s="5"/>
      <c r="EP2" s="141" t="s">
        <v>638</v>
      </c>
      <c r="EQ2" s="5"/>
      <c r="ER2" s="5"/>
      <c r="ES2" s="5"/>
      <c r="ET2" s="5"/>
      <c r="EU2" s="5"/>
      <c r="EW2" s="5">
        <v>10698.65</v>
      </c>
      <c r="EX2" s="5">
        <f>+EW296-DM296</f>
        <v>1936.1100000000006</v>
      </c>
      <c r="FB2" s="5">
        <f>+ES190-DY190</f>
        <v>0</v>
      </c>
    </row>
    <row r="3" spans="1:158" ht="46.5" customHeight="1" x14ac:dyDescent="0.25">
      <c r="A3" s="8"/>
      <c r="B3" s="8"/>
      <c r="C3" s="9"/>
      <c r="D3" s="10"/>
      <c r="E3" s="11"/>
      <c r="F3" s="12"/>
      <c r="G3" s="13"/>
      <c r="H3" s="13"/>
      <c r="I3" s="11"/>
      <c r="J3" s="145" t="s">
        <v>5</v>
      </c>
      <c r="K3" s="145"/>
      <c r="L3" s="145"/>
      <c r="M3" s="145"/>
      <c r="N3" s="145" t="s">
        <v>6</v>
      </c>
      <c r="O3" s="145"/>
      <c r="P3" s="145"/>
      <c r="Q3" s="145"/>
      <c r="R3" s="143" t="s">
        <v>7</v>
      </c>
      <c r="S3" s="144"/>
      <c r="V3" s="143" t="s">
        <v>8</v>
      </c>
      <c r="W3" s="144"/>
      <c r="X3" s="143" t="s">
        <v>9</v>
      </c>
      <c r="Y3" s="144"/>
      <c r="Z3" s="143" t="s">
        <v>10</v>
      </c>
      <c r="AA3" s="147"/>
      <c r="AB3" s="147"/>
      <c r="AC3" s="14"/>
      <c r="AD3" s="143" t="s">
        <v>11</v>
      </c>
      <c r="AE3" s="144"/>
      <c r="AG3" s="142" t="s">
        <v>12</v>
      </c>
      <c r="AH3" s="142"/>
      <c r="AI3" s="148" t="s">
        <v>13</v>
      </c>
      <c r="AJ3" s="149"/>
      <c r="AK3" s="149" t="s">
        <v>14</v>
      </c>
      <c r="AL3" s="150"/>
      <c r="AM3" s="17" t="s">
        <v>15</v>
      </c>
      <c r="AN3" s="18"/>
      <c r="AO3" s="18" t="s">
        <v>16</v>
      </c>
      <c r="AP3" s="18"/>
      <c r="AQ3" s="149" t="s">
        <v>17</v>
      </c>
      <c r="AR3" s="150"/>
      <c r="AS3" s="142" t="s">
        <v>18</v>
      </c>
      <c r="AT3" s="142"/>
      <c r="AU3" s="142" t="s">
        <v>19</v>
      </c>
      <c r="AV3" s="142"/>
      <c r="AW3" s="151" t="s">
        <v>20</v>
      </c>
      <c r="AX3" s="152"/>
      <c r="AY3" s="149" t="s">
        <v>21</v>
      </c>
      <c r="AZ3" s="153"/>
      <c r="BA3" s="150"/>
      <c r="BB3" s="20"/>
      <c r="BC3" s="20"/>
      <c r="BD3" s="20"/>
      <c r="BE3" s="20"/>
      <c r="BF3" s="20"/>
      <c r="BG3" s="20"/>
      <c r="BH3" s="142" t="s">
        <v>22</v>
      </c>
      <c r="BI3" s="142"/>
      <c r="BJ3" s="15" t="s">
        <v>23</v>
      </c>
      <c r="BK3" s="15"/>
      <c r="BL3" s="149" t="s">
        <v>24</v>
      </c>
      <c r="BM3" s="153"/>
      <c r="BN3" s="150"/>
      <c r="BO3" s="16"/>
      <c r="BP3" s="16"/>
      <c r="BQ3" s="16"/>
      <c r="BR3" s="16"/>
      <c r="BS3" s="16"/>
      <c r="BT3" s="16"/>
      <c r="BU3" s="149" t="s">
        <v>25</v>
      </c>
      <c r="BV3" s="150"/>
      <c r="BW3" s="149" t="s">
        <v>26</v>
      </c>
      <c r="BX3" s="150"/>
      <c r="BY3" s="19" t="s">
        <v>27</v>
      </c>
      <c r="BZ3" s="19"/>
      <c r="CA3" s="149" t="s">
        <v>28</v>
      </c>
      <c r="CB3" s="150"/>
      <c r="CC3" t="s">
        <v>29</v>
      </c>
      <c r="CD3" s="21">
        <v>0.15</v>
      </c>
      <c r="CE3" s="22" t="s">
        <v>30</v>
      </c>
      <c r="CF3" s="22"/>
      <c r="CG3" s="154" t="s">
        <v>31</v>
      </c>
      <c r="CH3" s="155"/>
      <c r="CK3" s="148" t="s">
        <v>32</v>
      </c>
      <c r="CL3" s="148"/>
      <c r="CM3" s="149" t="s">
        <v>33</v>
      </c>
      <c r="CN3" s="150"/>
      <c r="CO3" s="148" t="s">
        <v>34</v>
      </c>
      <c r="CP3" s="148"/>
      <c r="CQ3" s="148" t="s">
        <v>35</v>
      </c>
      <c r="CR3" s="148"/>
      <c r="CS3" s="157" t="s">
        <v>36</v>
      </c>
      <c r="CT3" s="157"/>
      <c r="CU3" s="6" t="s">
        <v>37</v>
      </c>
      <c r="CW3" s="6" t="s">
        <v>38</v>
      </c>
      <c r="CY3" s="23" t="s">
        <v>39</v>
      </c>
      <c r="CZ3" s="23"/>
      <c r="DA3" s="158" t="s">
        <v>40</v>
      </c>
      <c r="DB3" s="159"/>
      <c r="DC3" s="160" t="s">
        <v>41</v>
      </c>
      <c r="DD3" s="161"/>
      <c r="DE3" s="6" t="s">
        <v>42</v>
      </c>
      <c r="DG3" s="162" t="s">
        <v>43</v>
      </c>
      <c r="DH3" s="162"/>
      <c r="DI3" s="162" t="s">
        <v>44</v>
      </c>
      <c r="DJ3" s="162"/>
      <c r="DK3" s="163" t="s">
        <v>45</v>
      </c>
      <c r="DL3" s="156"/>
      <c r="DM3" s="156" t="s">
        <v>46</v>
      </c>
      <c r="DN3" s="156"/>
      <c r="DO3" s="156" t="s">
        <v>47</v>
      </c>
      <c r="DP3" s="156"/>
      <c r="DQ3" s="156" t="s">
        <v>48</v>
      </c>
      <c r="DR3" s="156"/>
      <c r="DS3" s="156" t="s">
        <v>49</v>
      </c>
      <c r="DT3" s="156"/>
      <c r="DU3" s="156" t="s">
        <v>50</v>
      </c>
      <c r="DV3" s="156"/>
      <c r="DW3" s="24" t="s">
        <v>51</v>
      </c>
      <c r="DX3" s="24"/>
      <c r="DY3" s="156" t="s">
        <v>635</v>
      </c>
      <c r="DZ3" s="156"/>
      <c r="EA3" s="163" t="s">
        <v>636</v>
      </c>
      <c r="EB3" s="156"/>
      <c r="EC3" s="164" t="s">
        <v>52</v>
      </c>
      <c r="ED3" s="164"/>
      <c r="EE3" s="165" t="s">
        <v>53</v>
      </c>
      <c r="EF3" s="165"/>
      <c r="EG3" s="156" t="s">
        <v>54</v>
      </c>
      <c r="EH3" s="156"/>
      <c r="EI3" s="165" t="s">
        <v>55</v>
      </c>
      <c r="EJ3" s="165"/>
      <c r="EK3" s="156" t="s">
        <v>56</v>
      </c>
      <c r="EL3" s="156"/>
      <c r="EM3" s="24"/>
      <c r="EN3" s="24"/>
      <c r="EO3" s="156" t="s">
        <v>637</v>
      </c>
      <c r="EP3" s="156"/>
      <c r="EQ3" s="24"/>
      <c r="ER3" s="24"/>
      <c r="ES3" s="24"/>
      <c r="ET3" s="24"/>
      <c r="EU3" s="156" t="s">
        <v>57</v>
      </c>
      <c r="EV3" s="156"/>
      <c r="EW3" s="5" t="s">
        <v>58</v>
      </c>
      <c r="EX3" s="5" t="s">
        <v>59</v>
      </c>
      <c r="EY3" s="5" t="s">
        <v>60</v>
      </c>
    </row>
    <row r="4" spans="1:158" ht="60" x14ac:dyDescent="0.25">
      <c r="A4" s="25" t="s">
        <v>61</v>
      </c>
      <c r="B4" s="25" t="s">
        <v>62</v>
      </c>
      <c r="C4" s="26" t="s">
        <v>63</v>
      </c>
      <c r="D4" s="27" t="s">
        <v>64</v>
      </c>
      <c r="E4" s="27" t="s">
        <v>65</v>
      </c>
      <c r="F4" s="28" t="s">
        <v>66</v>
      </c>
      <c r="G4" s="28" t="s">
        <v>67</v>
      </c>
      <c r="H4" s="28" t="s">
        <v>66</v>
      </c>
      <c r="I4" s="28" t="s">
        <v>67</v>
      </c>
      <c r="J4" s="28" t="s">
        <v>68</v>
      </c>
      <c r="K4" s="28" t="s">
        <v>69</v>
      </c>
      <c r="L4" s="28" t="s">
        <v>70</v>
      </c>
      <c r="M4" s="28" t="s">
        <v>71</v>
      </c>
      <c r="N4" s="28" t="s">
        <v>72</v>
      </c>
      <c r="O4" s="28" t="s">
        <v>73</v>
      </c>
      <c r="P4" s="28" t="s">
        <v>74</v>
      </c>
      <c r="Q4" s="28" t="s">
        <v>75</v>
      </c>
      <c r="R4" s="29" t="s">
        <v>76</v>
      </c>
      <c r="S4" s="29" t="s">
        <v>67</v>
      </c>
      <c r="T4" s="30" t="s">
        <v>77</v>
      </c>
      <c r="U4" s="30" t="s">
        <v>78</v>
      </c>
      <c r="V4" s="29" t="s">
        <v>76</v>
      </c>
      <c r="W4" s="29" t="s">
        <v>67</v>
      </c>
      <c r="X4" s="29" t="s">
        <v>76</v>
      </c>
      <c r="Y4" s="29" t="s">
        <v>67</v>
      </c>
      <c r="Z4" s="29" t="s">
        <v>79</v>
      </c>
      <c r="AA4" s="29" t="s">
        <v>80</v>
      </c>
      <c r="AB4" s="29" t="s">
        <v>81</v>
      </c>
      <c r="AC4" s="29" t="s">
        <v>82</v>
      </c>
      <c r="AD4" s="29" t="s">
        <v>76</v>
      </c>
      <c r="AE4" s="29" t="s">
        <v>67</v>
      </c>
      <c r="AF4" s="31" t="s">
        <v>83</v>
      </c>
      <c r="AG4" s="30" t="s">
        <v>66</v>
      </c>
      <c r="AH4" s="30" t="s">
        <v>84</v>
      </c>
      <c r="AI4" s="32" t="s">
        <v>66</v>
      </c>
      <c r="AJ4" s="29" t="s">
        <v>84</v>
      </c>
      <c r="AK4" s="29" t="s">
        <v>66</v>
      </c>
      <c r="AL4" s="29" t="s">
        <v>84</v>
      </c>
      <c r="AM4" s="29" t="s">
        <v>66</v>
      </c>
      <c r="AN4" s="29" t="s">
        <v>84</v>
      </c>
      <c r="AO4" s="29" t="s">
        <v>66</v>
      </c>
      <c r="AP4" s="29" t="s">
        <v>84</v>
      </c>
      <c r="AQ4" s="29" t="s">
        <v>66</v>
      </c>
      <c r="AR4" s="29" t="s">
        <v>84</v>
      </c>
      <c r="AS4" s="29" t="s">
        <v>66</v>
      </c>
      <c r="AT4" s="29" t="s">
        <v>84</v>
      </c>
      <c r="AU4" s="29" t="s">
        <v>66</v>
      </c>
      <c r="AV4" s="29" t="s">
        <v>84</v>
      </c>
      <c r="AW4" s="29" t="s">
        <v>66</v>
      </c>
      <c r="AX4" s="29" t="s">
        <v>84</v>
      </c>
      <c r="AY4" s="29" t="s">
        <v>66</v>
      </c>
      <c r="AZ4" s="29" t="s">
        <v>84</v>
      </c>
      <c r="BA4" s="29" t="s">
        <v>85</v>
      </c>
      <c r="BB4" s="29" t="s">
        <v>86</v>
      </c>
      <c r="BC4" s="29" t="s">
        <v>87</v>
      </c>
      <c r="BD4" s="33" t="s">
        <v>88</v>
      </c>
      <c r="BE4" s="33" t="s">
        <v>89</v>
      </c>
      <c r="BF4" s="33" t="s">
        <v>90</v>
      </c>
      <c r="BG4" s="34" t="s">
        <v>91</v>
      </c>
      <c r="BH4" s="35" t="s">
        <v>92</v>
      </c>
      <c r="BI4" s="35" t="s">
        <v>93</v>
      </c>
      <c r="BJ4" s="35" t="s">
        <v>92</v>
      </c>
      <c r="BK4" s="35" t="s">
        <v>93</v>
      </c>
      <c r="BL4" s="35" t="s">
        <v>94</v>
      </c>
      <c r="BM4" s="35" t="s">
        <v>67</v>
      </c>
      <c r="BN4" s="35" t="s">
        <v>95</v>
      </c>
      <c r="BO4" s="36" t="s">
        <v>96</v>
      </c>
      <c r="BP4" s="36" t="s">
        <v>97</v>
      </c>
      <c r="BQ4" s="33" t="s">
        <v>88</v>
      </c>
      <c r="BR4" s="33" t="s">
        <v>89</v>
      </c>
      <c r="BS4" s="33" t="s">
        <v>98</v>
      </c>
      <c r="BT4" s="34" t="s">
        <v>99</v>
      </c>
      <c r="BU4" s="33" t="s">
        <v>94</v>
      </c>
      <c r="BV4" s="33" t="s">
        <v>67</v>
      </c>
      <c r="BW4" s="33" t="s">
        <v>94</v>
      </c>
      <c r="BX4" s="33" t="s">
        <v>67</v>
      </c>
      <c r="BY4" s="33" t="s">
        <v>100</v>
      </c>
      <c r="BZ4" s="33" t="s">
        <v>101</v>
      </c>
      <c r="CA4" s="33" t="s">
        <v>94</v>
      </c>
      <c r="CB4" s="33" t="s">
        <v>67</v>
      </c>
      <c r="CC4" s="33" t="s">
        <v>94</v>
      </c>
      <c r="CD4" s="33" t="s">
        <v>67</v>
      </c>
      <c r="CE4" s="33" t="s">
        <v>94</v>
      </c>
      <c r="CF4" s="33" t="s">
        <v>67</v>
      </c>
      <c r="CG4" s="33" t="s">
        <v>94</v>
      </c>
      <c r="CH4" s="33" t="s">
        <v>67</v>
      </c>
      <c r="CI4" s="29"/>
      <c r="CJ4" s="29"/>
      <c r="CK4" s="29" t="s">
        <v>94</v>
      </c>
      <c r="CL4" s="29" t="s">
        <v>67</v>
      </c>
      <c r="CM4" s="29" t="s">
        <v>94</v>
      </c>
      <c r="CN4" s="29" t="s">
        <v>67</v>
      </c>
      <c r="CO4" s="29" t="s">
        <v>94</v>
      </c>
      <c r="CP4" s="29" t="s">
        <v>67</v>
      </c>
      <c r="CQ4" s="29" t="s">
        <v>94</v>
      </c>
      <c r="CR4" s="29" t="s">
        <v>67</v>
      </c>
      <c r="CS4" s="29" t="s">
        <v>94</v>
      </c>
      <c r="CT4" s="29" t="s">
        <v>67</v>
      </c>
      <c r="CU4" s="29" t="s">
        <v>94</v>
      </c>
      <c r="CV4" s="29" t="s">
        <v>67</v>
      </c>
      <c r="CW4" s="29" t="s">
        <v>94</v>
      </c>
      <c r="CX4" s="29" t="s">
        <v>67</v>
      </c>
      <c r="CY4" s="29" t="s">
        <v>94</v>
      </c>
      <c r="CZ4" s="29" t="s">
        <v>67</v>
      </c>
      <c r="DA4" s="29" t="s">
        <v>94</v>
      </c>
      <c r="DB4" s="29" t="s">
        <v>67</v>
      </c>
      <c r="DC4" s="29" t="s">
        <v>94</v>
      </c>
      <c r="DD4" s="29" t="s">
        <v>67</v>
      </c>
      <c r="DE4" s="29" t="s">
        <v>94</v>
      </c>
      <c r="DF4" s="29" t="s">
        <v>67</v>
      </c>
      <c r="DG4" s="29" t="s">
        <v>94</v>
      </c>
      <c r="DH4" s="29" t="s">
        <v>67</v>
      </c>
      <c r="DI4" s="29" t="s">
        <v>94</v>
      </c>
      <c r="DJ4" s="29" t="s">
        <v>67</v>
      </c>
      <c r="DK4" s="29" t="s">
        <v>94</v>
      </c>
      <c r="DL4" s="29" t="s">
        <v>67</v>
      </c>
      <c r="DM4" s="29" t="s">
        <v>94</v>
      </c>
      <c r="DN4" s="29" t="s">
        <v>67</v>
      </c>
      <c r="DO4" s="29" t="s">
        <v>94</v>
      </c>
      <c r="DP4" s="29" t="s">
        <v>67</v>
      </c>
      <c r="DQ4" s="29" t="s">
        <v>94</v>
      </c>
      <c r="DR4" s="29" t="s">
        <v>67</v>
      </c>
      <c r="DS4" s="29" t="s">
        <v>94</v>
      </c>
      <c r="DT4" s="29" t="s">
        <v>67</v>
      </c>
      <c r="DU4" s="29" t="s">
        <v>94</v>
      </c>
      <c r="DV4" s="29" t="s">
        <v>67</v>
      </c>
      <c r="DW4" s="29" t="s">
        <v>94</v>
      </c>
      <c r="DX4" s="29" t="s">
        <v>67</v>
      </c>
      <c r="DY4" s="29" t="s">
        <v>94</v>
      </c>
      <c r="DZ4" s="29" t="s">
        <v>67</v>
      </c>
      <c r="EA4" s="29" t="s">
        <v>94</v>
      </c>
      <c r="EB4" s="29" t="s">
        <v>67</v>
      </c>
      <c r="EC4" s="29" t="s">
        <v>94</v>
      </c>
      <c r="ED4" s="29" t="s">
        <v>67</v>
      </c>
      <c r="EE4" s="29" t="s">
        <v>94</v>
      </c>
      <c r="EF4" s="29" t="s">
        <v>67</v>
      </c>
      <c r="EG4" s="29" t="s">
        <v>94</v>
      </c>
      <c r="EH4" s="29" t="s">
        <v>67</v>
      </c>
      <c r="EI4" s="29" t="s">
        <v>94</v>
      </c>
      <c r="EJ4" s="29" t="s">
        <v>67</v>
      </c>
      <c r="EK4" s="29" t="s">
        <v>94</v>
      </c>
      <c r="EL4" s="29" t="s">
        <v>67</v>
      </c>
      <c r="EM4" s="29" t="s">
        <v>94</v>
      </c>
      <c r="EN4" s="29" t="s">
        <v>67</v>
      </c>
      <c r="EO4" s="29" t="s">
        <v>94</v>
      </c>
      <c r="EP4" s="29" t="s">
        <v>67</v>
      </c>
      <c r="EQ4" s="29"/>
      <c r="ER4" s="29"/>
      <c r="ES4" s="29" t="s">
        <v>94</v>
      </c>
      <c r="ET4" s="29" t="s">
        <v>67</v>
      </c>
      <c r="EU4" s="33"/>
      <c r="EV4" s="29"/>
      <c r="EW4" s="29" t="s">
        <v>94</v>
      </c>
      <c r="EX4" s="29" t="s">
        <v>67</v>
      </c>
      <c r="EY4" s="29" t="s">
        <v>94</v>
      </c>
      <c r="EZ4" s="29" t="s">
        <v>67</v>
      </c>
    </row>
    <row r="5" spans="1:158" ht="18.75" x14ac:dyDescent="0.25">
      <c r="A5" s="37">
        <v>1</v>
      </c>
      <c r="B5" s="37"/>
      <c r="C5" s="91" t="s">
        <v>102</v>
      </c>
      <c r="D5" s="38" t="s">
        <v>103</v>
      </c>
      <c r="E5" s="39"/>
      <c r="F5" s="40">
        <v>2827.22</v>
      </c>
      <c r="G5" s="40">
        <v>545.40000000000009</v>
      </c>
      <c r="H5" s="40">
        <v>2827.22</v>
      </c>
      <c r="I5" s="40">
        <v>670</v>
      </c>
      <c r="J5" s="41">
        <v>3100</v>
      </c>
      <c r="K5" s="41">
        <v>225</v>
      </c>
      <c r="L5" s="41">
        <v>0</v>
      </c>
      <c r="M5" s="41">
        <f>J5+K5+L5</f>
        <v>3325</v>
      </c>
      <c r="N5" s="41">
        <v>0</v>
      </c>
      <c r="O5" s="41">
        <v>0</v>
      </c>
      <c r="P5" s="41">
        <v>0</v>
      </c>
      <c r="Q5" s="41">
        <f>N5+O5+P5</f>
        <v>0</v>
      </c>
      <c r="R5" s="41">
        <f>Q5+M5</f>
        <v>3325</v>
      </c>
      <c r="S5" s="41">
        <v>600</v>
      </c>
      <c r="T5" s="92"/>
      <c r="U5" s="92"/>
      <c r="V5" s="40">
        <f>ROUND(H5*1.0583,2)</f>
        <v>2992.05</v>
      </c>
      <c r="W5" s="40">
        <f>ROUND(I5*1.0327,2)</f>
        <v>691.91</v>
      </c>
      <c r="X5" s="43">
        <f>R5-V5</f>
        <v>332.94999999999982</v>
      </c>
      <c r="Y5" s="43">
        <f>S5-W5</f>
        <v>-91.909999999999968</v>
      </c>
      <c r="Z5" s="43">
        <f>AD5</f>
        <v>2992.05</v>
      </c>
      <c r="AA5" s="43"/>
      <c r="AB5" s="43">
        <f>Z5+AA5</f>
        <v>2992.05</v>
      </c>
      <c r="AC5" s="43">
        <f>AD5-AB5</f>
        <v>0</v>
      </c>
      <c r="AD5" s="43">
        <f>IF(X5&gt;0,V5,R5)</f>
        <v>2992.05</v>
      </c>
      <c r="AE5" s="43">
        <f>IF(Y5&gt;0,W5,S5)</f>
        <v>600</v>
      </c>
      <c r="AF5" s="43">
        <f>ROUND(S5*0.9022,2)</f>
        <v>541.32000000000005</v>
      </c>
      <c r="AG5" s="43">
        <f>ROUND(AD5/4,0)</f>
        <v>748</v>
      </c>
      <c r="AH5" s="43">
        <f>ROUND(AE5/4,0)</f>
        <v>150</v>
      </c>
      <c r="AI5" s="93">
        <f>ROUND(AD5/12,0)</f>
        <v>249</v>
      </c>
      <c r="AJ5" s="43">
        <f>ROUND(AE5/12,0)</f>
        <v>50</v>
      </c>
      <c r="AK5" s="43"/>
      <c r="AL5" s="43"/>
      <c r="AM5" s="43">
        <f>ROUND(AD5*25%,2)</f>
        <v>748.01</v>
      </c>
      <c r="AN5" s="43">
        <f>ROUND(AE5*24.35%,2)</f>
        <v>146.1</v>
      </c>
      <c r="AO5" s="43"/>
      <c r="AP5" s="43"/>
      <c r="AQ5" s="43">
        <f>+AM5+AK5+AG5+AO5</f>
        <v>1496.01</v>
      </c>
      <c r="AR5" s="43">
        <f>+AN5+AL5+AH5+AP5</f>
        <v>296.10000000000002</v>
      </c>
      <c r="AS5" s="43"/>
      <c r="AT5" s="43"/>
      <c r="AU5" s="43">
        <f t="shared" ref="AU5:AV64" si="0">ROUND(AD5*25%,2)</f>
        <v>748.01</v>
      </c>
      <c r="AV5" s="43">
        <f>ROUND(AE5*25%,2)</f>
        <v>150</v>
      </c>
      <c r="AW5" s="43"/>
      <c r="AX5" s="43"/>
      <c r="AY5" s="43">
        <f>+AQ5+AS5+AU5+AW5+AI5</f>
        <v>2493.02</v>
      </c>
      <c r="AZ5" s="43">
        <f>+AR5+AT5+AV5+AX5+AJ5</f>
        <v>496.1</v>
      </c>
      <c r="BA5" s="43">
        <f>+AY5+AZ5</f>
        <v>2989.12</v>
      </c>
      <c r="BB5" s="60">
        <v>2275.7399999999998</v>
      </c>
      <c r="BC5" s="60">
        <v>495.56</v>
      </c>
      <c r="BD5" s="60">
        <f>AY5-BB5</f>
        <v>217.2800000000002</v>
      </c>
      <c r="BE5" s="60">
        <f>AZ5-BC5</f>
        <v>0.54000000000002046</v>
      </c>
      <c r="BF5" s="60">
        <f>ROUND(BB5/10*2,2)</f>
        <v>455.15</v>
      </c>
      <c r="BG5" s="60">
        <f>ROUND(BC5/10*2,2)</f>
        <v>99.11</v>
      </c>
      <c r="BH5" s="43">
        <v>118.94</v>
      </c>
      <c r="BI5" s="43">
        <v>49.29</v>
      </c>
      <c r="BJ5" s="43"/>
      <c r="BK5" s="43"/>
      <c r="BL5" s="43">
        <f t="shared" ref="BL5:BN67" si="1">+BH5+AY5+BJ5</f>
        <v>2611.96</v>
      </c>
      <c r="BM5" s="43">
        <f>+BI5+AZ5+BK5</f>
        <v>545.39</v>
      </c>
      <c r="BN5" s="43">
        <f>BL5+BM5</f>
        <v>3157.35</v>
      </c>
      <c r="BO5" s="43">
        <v>2536.19</v>
      </c>
      <c r="BP5" s="93">
        <v>527.89</v>
      </c>
      <c r="BQ5" s="43">
        <f>BL5-BO5</f>
        <v>75.769999999999982</v>
      </c>
      <c r="BR5" s="43">
        <f>BM5-BP5</f>
        <v>17.5</v>
      </c>
      <c r="BS5" s="43">
        <f>ROUND(BO5/11,2)</f>
        <v>230.56</v>
      </c>
      <c r="BT5" s="43">
        <f>ROUND(BP5/11,2)</f>
        <v>47.99</v>
      </c>
      <c r="BU5" s="43">
        <f>BS5-BQ5</f>
        <v>154.79000000000002</v>
      </c>
      <c r="BV5" s="43">
        <f>ROUND(BT5-BR5,2)</f>
        <v>30.49</v>
      </c>
      <c r="BW5" s="43">
        <v>95</v>
      </c>
      <c r="BX5" s="43"/>
      <c r="BY5" s="43"/>
      <c r="BZ5" s="43"/>
      <c r="CA5" s="43">
        <v>2861.75</v>
      </c>
      <c r="CB5" s="43">
        <v>575.88</v>
      </c>
      <c r="CC5" s="92">
        <v>3147.93</v>
      </c>
      <c r="CD5" s="92">
        <v>662.26</v>
      </c>
      <c r="CE5" s="92">
        <v>262</v>
      </c>
      <c r="CF5" s="92">
        <v>55</v>
      </c>
      <c r="CG5" s="92">
        <f>ROUND(CA5/12*3,2)</f>
        <v>715.44</v>
      </c>
      <c r="CH5" s="92">
        <f>ROUND(CB5/12*3,2)</f>
        <v>143.97</v>
      </c>
      <c r="CI5" s="43"/>
      <c r="CJ5" s="43"/>
      <c r="CK5" s="72">
        <f>800-25</f>
        <v>775</v>
      </c>
      <c r="CL5" s="72">
        <f>300-150</f>
        <v>150</v>
      </c>
      <c r="CM5" s="72"/>
      <c r="CN5" s="72">
        <v>200</v>
      </c>
      <c r="CO5" s="43">
        <v>2872</v>
      </c>
      <c r="CP5" s="43">
        <v>660</v>
      </c>
      <c r="CQ5" s="43">
        <f>ROUND(CK5/3*12,2)</f>
        <v>3100</v>
      </c>
      <c r="CR5" s="43">
        <f>ROUND(CL5/3*12,2)</f>
        <v>600</v>
      </c>
      <c r="CS5" s="43">
        <f>IF(CO5&lt;CQ5,CO5,CQ5)</f>
        <v>2872</v>
      </c>
      <c r="CT5" s="43">
        <f>IF(CP5&lt;CR5,CP5,CR5)</f>
        <v>600</v>
      </c>
      <c r="CU5" s="43">
        <v>2872</v>
      </c>
      <c r="CV5" s="43">
        <v>660</v>
      </c>
      <c r="CW5" s="43">
        <f>ROUND(CU5*25%,2)</f>
        <v>718</v>
      </c>
      <c r="CX5" s="43">
        <f>ROUND(CV5*25%,2)</f>
        <v>165</v>
      </c>
      <c r="CY5" s="43"/>
      <c r="CZ5" s="43"/>
      <c r="DA5" s="43">
        <f>+CY5+CW5+CM5+CK5+CE5</f>
        <v>1755</v>
      </c>
      <c r="DB5" s="43">
        <f>+CZ5+CX5+CN5+CL5+CF5</f>
        <v>570</v>
      </c>
      <c r="DC5" s="43">
        <v>1676.38</v>
      </c>
      <c r="DD5" s="43">
        <v>495.23</v>
      </c>
      <c r="DE5" s="43">
        <f>+DA5-DC5</f>
        <v>78.619999999999891</v>
      </c>
      <c r="DF5" s="43">
        <f>+DB5-DD5</f>
        <v>74.769999999999982</v>
      </c>
      <c r="DG5" s="43">
        <f>ROUND(0.25*(MIN(CU5,EW5)),2)</f>
        <v>718</v>
      </c>
      <c r="DH5" s="43">
        <f>ROUND(0.25*(MIN(CV5,EX5)),2)</f>
        <v>165</v>
      </c>
      <c r="DI5" s="43">
        <f>+DG5-DE5</f>
        <v>639.38000000000011</v>
      </c>
      <c r="DJ5" s="43">
        <f>+DH5-DF5-0.23</f>
        <v>90.000000000000014</v>
      </c>
      <c r="DK5" s="43">
        <v>46</v>
      </c>
      <c r="DL5" s="43"/>
      <c r="DM5" s="43">
        <f>+DI5+DA5+DK5</f>
        <v>2440.38</v>
      </c>
      <c r="DN5" s="43">
        <f>+DJ5+DB5+DL5</f>
        <v>660</v>
      </c>
      <c r="DO5" s="94">
        <v>2427.3000000000002</v>
      </c>
      <c r="DP5" s="95">
        <v>590.78</v>
      </c>
      <c r="DQ5" s="60">
        <f>ROUND(DM5-DO5,2)</f>
        <v>13.08</v>
      </c>
      <c r="DR5" s="60">
        <f>ROUND(DN5-DP5,2)</f>
        <v>69.22</v>
      </c>
      <c r="DS5" s="60">
        <f>DO5/10</f>
        <v>242.73000000000002</v>
      </c>
      <c r="DT5" s="60">
        <f>DP5/10</f>
        <v>59.077999999999996</v>
      </c>
      <c r="DU5" s="60">
        <f>DS5-DQ5</f>
        <v>229.65</v>
      </c>
      <c r="DV5" s="60">
        <f>DT5-DR5</f>
        <v>-10.142000000000003</v>
      </c>
      <c r="DW5" s="60"/>
      <c r="DX5" s="60"/>
      <c r="DY5" s="60">
        <f>ROUND(DU5+DW5,2)</f>
        <v>229.65</v>
      </c>
      <c r="DZ5" s="60">
        <v>0</v>
      </c>
      <c r="EA5" s="60"/>
      <c r="EB5" s="60"/>
      <c r="EC5" s="43">
        <f>+DY5+DM5+EA5</f>
        <v>2670.03</v>
      </c>
      <c r="ED5" s="43">
        <f>+DZ5+DN5+EB5</f>
        <v>660</v>
      </c>
      <c r="EE5" s="43">
        <v>2663.06</v>
      </c>
      <c r="EF5" s="43">
        <v>651.13</v>
      </c>
      <c r="EG5" s="43">
        <f>ROUND(EE5/EC5*100,2)</f>
        <v>99.74</v>
      </c>
      <c r="EH5" s="43">
        <f>ROUND(EF5/ED5*100,2)</f>
        <v>98.66</v>
      </c>
      <c r="EI5" s="43">
        <f>ROUND(EC5-EE5,2)</f>
        <v>6.97</v>
      </c>
      <c r="EJ5" s="43">
        <f>ROUND(ED5-EF5,2)</f>
        <v>8.8699999999999992</v>
      </c>
      <c r="EK5" s="43">
        <f>ROUND(EE5/11,2)</f>
        <v>242.1</v>
      </c>
      <c r="EL5" s="43">
        <f>ROUND(EF5/11,2)</f>
        <v>59.19</v>
      </c>
      <c r="EM5" s="43">
        <f>+EK5-EI5</f>
        <v>235.13</v>
      </c>
      <c r="EN5" s="43">
        <f>+EL5-EJ5</f>
        <v>50.32</v>
      </c>
      <c r="EO5" s="43">
        <v>234</v>
      </c>
      <c r="EP5" s="43">
        <v>158.5</v>
      </c>
      <c r="EQ5" s="5"/>
      <c r="ER5" s="5"/>
      <c r="ES5" s="5"/>
      <c r="ET5" s="45">
        <v>145</v>
      </c>
      <c r="EU5" s="5">
        <f>+EW5-EC5-EO5</f>
        <v>-12.0300000000002</v>
      </c>
      <c r="EV5" s="5">
        <f>+EX5-ED5-EP5</f>
        <v>-118.5</v>
      </c>
      <c r="EW5" s="5">
        <v>2892</v>
      </c>
      <c r="EX5" s="5">
        <v>700</v>
      </c>
      <c r="EY5" s="5">
        <v>3120</v>
      </c>
      <c r="EZ5" s="5">
        <v>450</v>
      </c>
    </row>
    <row r="6" spans="1:158" ht="18.75" x14ac:dyDescent="0.25">
      <c r="A6" s="37">
        <v>2</v>
      </c>
      <c r="B6" s="37"/>
      <c r="C6" s="91" t="s">
        <v>102</v>
      </c>
      <c r="D6" s="38" t="s">
        <v>104</v>
      </c>
      <c r="E6" s="39"/>
      <c r="F6" s="40">
        <v>1244.5600000000002</v>
      </c>
      <c r="G6" s="40">
        <v>0</v>
      </c>
      <c r="H6" s="40">
        <v>1244.5600000000002</v>
      </c>
      <c r="I6" s="40">
        <v>0</v>
      </c>
      <c r="J6" s="41">
        <v>1590.48</v>
      </c>
      <c r="K6" s="41">
        <v>0</v>
      </c>
      <c r="L6" s="41">
        <v>0</v>
      </c>
      <c r="M6" s="41">
        <f>J6+K6+L6</f>
        <v>1590.48</v>
      </c>
      <c r="N6" s="41">
        <v>0</v>
      </c>
      <c r="O6" s="41">
        <v>0</v>
      </c>
      <c r="P6" s="41">
        <v>0</v>
      </c>
      <c r="Q6" s="41">
        <f>N6+O6+P6</f>
        <v>0</v>
      </c>
      <c r="R6" s="41">
        <f>Q6+M6</f>
        <v>1590.48</v>
      </c>
      <c r="S6" s="41">
        <v>0</v>
      </c>
      <c r="T6" s="92"/>
      <c r="U6" s="92"/>
      <c r="V6" s="40">
        <f>ROUND(H6*1.0583,2)</f>
        <v>1317.12</v>
      </c>
      <c r="W6" s="40">
        <f>ROUND(I6*1.0327,2)</f>
        <v>0</v>
      </c>
      <c r="X6" s="43">
        <f t="shared" ref="X6:Y66" si="2">R6-V6</f>
        <v>273.36000000000013</v>
      </c>
      <c r="Y6" s="43">
        <f t="shared" si="2"/>
        <v>0</v>
      </c>
      <c r="Z6" s="43">
        <f>AD6</f>
        <v>1317.12</v>
      </c>
      <c r="AA6" s="43"/>
      <c r="AB6" s="43">
        <f t="shared" ref="AB6:AB69" si="3">Z6+AA6</f>
        <v>1317.12</v>
      </c>
      <c r="AC6" s="43">
        <f t="shared" ref="AC6:AC69" si="4">AD6-AB6</f>
        <v>0</v>
      </c>
      <c r="AD6" s="43">
        <f>IF(X6&gt;0,V6,R6)</f>
        <v>1317.12</v>
      </c>
      <c r="AE6" s="43">
        <f>IF(Y6&gt;0,W6,S6)</f>
        <v>0</v>
      </c>
      <c r="AF6" s="43">
        <f t="shared" ref="AF6:AF69" si="5">ROUND(S6*0.9022,2)</f>
        <v>0</v>
      </c>
      <c r="AG6" s="43">
        <f t="shared" ref="AG6:AH66" si="6">ROUND(AD6/4,0)</f>
        <v>329</v>
      </c>
      <c r="AH6" s="43">
        <f>ROUND(AE6/4,0)</f>
        <v>0</v>
      </c>
      <c r="AI6" s="93">
        <f t="shared" ref="AI6:AJ66" si="7">ROUND(AD6/12,0)</f>
        <v>110</v>
      </c>
      <c r="AJ6" s="43">
        <f t="shared" si="7"/>
        <v>0</v>
      </c>
      <c r="AK6" s="43"/>
      <c r="AL6" s="43"/>
      <c r="AM6" s="43">
        <f t="shared" ref="AM6:AM69" si="8">ROUND(AD6*25%,2)</f>
        <v>329.28</v>
      </c>
      <c r="AN6" s="43">
        <f t="shared" ref="AN6:AN69" si="9">ROUND(AE6*24.35%,2)</f>
        <v>0</v>
      </c>
      <c r="AO6" s="43"/>
      <c r="AP6" s="43"/>
      <c r="AQ6" s="43">
        <f t="shared" ref="AQ6:AR66" si="10">+AM6+AK6+AG6+AO6</f>
        <v>658.28</v>
      </c>
      <c r="AR6" s="43">
        <f t="shared" si="10"/>
        <v>0</v>
      </c>
      <c r="AS6" s="43"/>
      <c r="AT6" s="43"/>
      <c r="AU6" s="43">
        <f t="shared" si="0"/>
        <v>329.28</v>
      </c>
      <c r="AV6" s="43">
        <f t="shared" si="0"/>
        <v>0</v>
      </c>
      <c r="AW6" s="43"/>
      <c r="AX6" s="43"/>
      <c r="AY6" s="43">
        <f t="shared" ref="AY6:AZ64" si="11">+AQ6+AS6+AU6+AW6+AI6</f>
        <v>1097.56</v>
      </c>
      <c r="AZ6" s="43">
        <f t="shared" si="11"/>
        <v>0</v>
      </c>
      <c r="BA6" s="43">
        <f t="shared" ref="BA6:BA64" si="12">+AY6+AZ6</f>
        <v>1097.56</v>
      </c>
      <c r="BB6" s="60">
        <v>1097.56</v>
      </c>
      <c r="BC6" s="60"/>
      <c r="BD6" s="60">
        <f t="shared" ref="BD6:BE64" si="13">AY6-BB6</f>
        <v>0</v>
      </c>
      <c r="BE6" s="60">
        <f t="shared" si="13"/>
        <v>0</v>
      </c>
      <c r="BF6" s="60">
        <f t="shared" ref="BF6:BG64" si="14">ROUND(BB6/10*2,2)</f>
        <v>219.51</v>
      </c>
      <c r="BG6" s="60">
        <f t="shared" si="14"/>
        <v>0</v>
      </c>
      <c r="BH6" s="43">
        <v>109.76</v>
      </c>
      <c r="BI6" s="43">
        <v>0</v>
      </c>
      <c r="BJ6" s="43"/>
      <c r="BK6" s="43"/>
      <c r="BL6" s="43">
        <f t="shared" si="1"/>
        <v>1207.32</v>
      </c>
      <c r="BM6" s="43">
        <f t="shared" si="1"/>
        <v>0</v>
      </c>
      <c r="BN6" s="43">
        <f t="shared" ref="BN6:BN69" si="15">BL6+BM6</f>
        <v>1207.32</v>
      </c>
      <c r="BO6" s="43">
        <v>1097.56</v>
      </c>
      <c r="BP6" s="93"/>
      <c r="BQ6" s="43">
        <f t="shared" ref="BQ6:BR69" si="16">BL6-BO6</f>
        <v>109.75999999999999</v>
      </c>
      <c r="BR6" s="43">
        <f t="shared" si="16"/>
        <v>0</v>
      </c>
      <c r="BS6" s="43">
        <f t="shared" ref="BS6:BT69" si="17">ROUND(BO6/11,2)</f>
        <v>99.78</v>
      </c>
      <c r="BT6" s="43">
        <f t="shared" si="17"/>
        <v>0</v>
      </c>
      <c r="BU6" s="43">
        <v>0</v>
      </c>
      <c r="BV6" s="43">
        <f t="shared" ref="BV6:BV12" si="18">ROUND(BT6-BR6,2)</f>
        <v>0</v>
      </c>
      <c r="BW6" s="43"/>
      <c r="BX6" s="43"/>
      <c r="BY6" s="43"/>
      <c r="BZ6" s="43"/>
      <c r="CA6" s="43">
        <v>1207.32</v>
      </c>
      <c r="CB6" s="43">
        <v>0</v>
      </c>
      <c r="CC6" s="92">
        <v>1328.05</v>
      </c>
      <c r="CD6" s="92">
        <v>0</v>
      </c>
      <c r="CE6" s="92">
        <v>111</v>
      </c>
      <c r="CF6" s="92">
        <v>0</v>
      </c>
      <c r="CG6" s="92">
        <f t="shared" ref="CG6:CH69" si="19">ROUND(CA6/12*3,2)</f>
        <v>301.83</v>
      </c>
      <c r="CH6" s="92">
        <f t="shared" si="19"/>
        <v>0</v>
      </c>
      <c r="CI6" s="43"/>
      <c r="CJ6" s="43"/>
      <c r="CK6" s="43">
        <v>330</v>
      </c>
      <c r="CL6" s="43">
        <v>0</v>
      </c>
      <c r="CM6" s="43"/>
      <c r="CN6" s="43"/>
      <c r="CO6" s="43">
        <v>1306.17</v>
      </c>
      <c r="CP6" s="43"/>
      <c r="CQ6" s="43">
        <f t="shared" ref="CQ6:CR69" si="20">ROUND(CK6/3*12,2)</f>
        <v>1320</v>
      </c>
      <c r="CR6" s="43">
        <f t="shared" si="20"/>
        <v>0</v>
      </c>
      <c r="CS6" s="43">
        <f t="shared" ref="CS6:CV69" si="21">IF(CO6&lt;CQ6,CO6,CQ6)</f>
        <v>1306.17</v>
      </c>
      <c r="CT6" s="43">
        <f t="shared" si="21"/>
        <v>0</v>
      </c>
      <c r="CU6" s="43">
        <v>1306.17</v>
      </c>
      <c r="CV6" s="43">
        <v>0</v>
      </c>
      <c r="CW6" s="43">
        <f t="shared" ref="CW6:CX67" si="22">ROUND(CU6*25%,2)</f>
        <v>326.54000000000002</v>
      </c>
      <c r="CX6" s="43">
        <f t="shared" si="22"/>
        <v>0</v>
      </c>
      <c r="CY6" s="43"/>
      <c r="CZ6" s="43"/>
      <c r="DA6" s="43">
        <f t="shared" ref="DA6:DB69" si="23">+CY6+CW6+CM6+CK6+CE6</f>
        <v>767.54</v>
      </c>
      <c r="DB6" s="43">
        <f t="shared" si="23"/>
        <v>0</v>
      </c>
      <c r="DC6" s="43">
        <v>767.54</v>
      </c>
      <c r="DD6" s="43">
        <v>0</v>
      </c>
      <c r="DE6" s="43">
        <f t="shared" ref="DE6:DF69" si="24">+DA6-DC6</f>
        <v>0</v>
      </c>
      <c r="DF6" s="43">
        <f t="shared" si="24"/>
        <v>0</v>
      </c>
      <c r="DG6" s="43">
        <f>ROUND(0.25*(MIN(CU6,EW6)),2)</f>
        <v>326.54000000000002</v>
      </c>
      <c r="DH6" s="43">
        <f>ROUND(0.25*(MIN(CV6,EX6)),2)</f>
        <v>0</v>
      </c>
      <c r="DI6" s="43">
        <f>+DG6-DE6</f>
        <v>326.54000000000002</v>
      </c>
      <c r="DJ6" s="43">
        <f>+DH6-DF6</f>
        <v>0</v>
      </c>
      <c r="DK6" s="43"/>
      <c r="DL6" s="43"/>
      <c r="DM6" s="43">
        <f t="shared" ref="DM6:DN69" si="25">+DI6+DA6+DK6</f>
        <v>1094.08</v>
      </c>
      <c r="DN6" s="43">
        <f t="shared" si="25"/>
        <v>0</v>
      </c>
      <c r="DO6" s="94">
        <v>1094.08</v>
      </c>
      <c r="DP6" s="95">
        <v>0</v>
      </c>
      <c r="DQ6" s="60">
        <f t="shared" ref="DQ6:DR69" si="26">ROUND(DM6-DO6,2)</f>
        <v>0</v>
      </c>
      <c r="DR6" s="60">
        <f t="shared" si="26"/>
        <v>0</v>
      </c>
      <c r="DS6" s="60">
        <f t="shared" ref="DS6:DT69" si="27">DO6/10</f>
        <v>109.40799999999999</v>
      </c>
      <c r="DT6" s="60">
        <f t="shared" si="27"/>
        <v>0</v>
      </c>
      <c r="DU6" s="60">
        <f t="shared" ref="DU6:DV69" si="28">DS6-DQ6</f>
        <v>109.40799999999999</v>
      </c>
      <c r="DV6" s="60">
        <f t="shared" si="28"/>
        <v>0</v>
      </c>
      <c r="DW6" s="60"/>
      <c r="DX6" s="60"/>
      <c r="DY6" s="60">
        <f t="shared" ref="DY6:DZ67" si="29">ROUND(DU6+DW6,2)</f>
        <v>109.41</v>
      </c>
      <c r="DZ6" s="60">
        <f t="shared" si="29"/>
        <v>0</v>
      </c>
      <c r="EA6" s="60"/>
      <c r="EB6" s="60"/>
      <c r="EC6" s="43">
        <f t="shared" ref="EC6:ED69" si="30">+DY6+DM6+EA6</f>
        <v>1203.49</v>
      </c>
      <c r="ED6" s="43">
        <f t="shared" si="30"/>
        <v>0</v>
      </c>
      <c r="EE6" s="43">
        <v>1094.08</v>
      </c>
      <c r="EF6" s="43">
        <v>0</v>
      </c>
      <c r="EG6" s="43">
        <f t="shared" ref="EG6:EH21" si="31">ROUND(EE6/EC6*100,2)</f>
        <v>90.91</v>
      </c>
      <c r="EH6" s="43" t="e">
        <f t="shared" si="31"/>
        <v>#DIV/0!</v>
      </c>
      <c r="EI6" s="43">
        <f t="shared" ref="EI6:EJ69" si="32">ROUND(EC6-EE6,2)</f>
        <v>109.41</v>
      </c>
      <c r="EJ6" s="43">
        <f t="shared" si="32"/>
        <v>0</v>
      </c>
      <c r="EK6" s="43">
        <f t="shared" ref="EK6:EL69" si="33">ROUND(EE6/11,2)</f>
        <v>99.46</v>
      </c>
      <c r="EL6" s="43">
        <f t="shared" si="33"/>
        <v>0</v>
      </c>
      <c r="EM6" s="43">
        <f t="shared" ref="EM6:EN69" si="34">+EK6-EI6</f>
        <v>-9.9500000000000028</v>
      </c>
      <c r="EN6" s="43">
        <f t="shared" si="34"/>
        <v>0</v>
      </c>
      <c r="EO6" s="43">
        <v>0</v>
      </c>
      <c r="EP6" s="43">
        <v>0</v>
      </c>
      <c r="EQ6" s="5"/>
      <c r="ER6" s="5"/>
      <c r="ES6" s="5"/>
      <c r="ET6" s="5"/>
      <c r="EU6" s="5">
        <f t="shared" ref="EU6:EV8" si="35">+EW6-EC6-EO6</f>
        <v>102.68000000000006</v>
      </c>
      <c r="EV6" s="5">
        <f t="shared" si="35"/>
        <v>0</v>
      </c>
      <c r="EW6" s="5">
        <v>1306.17</v>
      </c>
      <c r="EX6" s="5">
        <v>0</v>
      </c>
      <c r="EY6" s="5">
        <v>1492.49</v>
      </c>
      <c r="EZ6" s="5">
        <v>0</v>
      </c>
    </row>
    <row r="7" spans="1:158" ht="18.75" x14ac:dyDescent="0.25">
      <c r="A7" s="68"/>
      <c r="B7" s="68" t="s">
        <v>105</v>
      </c>
      <c r="C7" s="91" t="s">
        <v>102</v>
      </c>
      <c r="D7" s="67" t="s">
        <v>103</v>
      </c>
      <c r="E7" s="69" t="s">
        <v>106</v>
      </c>
      <c r="F7" s="70">
        <v>4071.78</v>
      </c>
      <c r="G7" s="70">
        <v>545.40000000000009</v>
      </c>
      <c r="H7" s="70">
        <v>4071.7799999999997</v>
      </c>
      <c r="I7" s="70">
        <v>670</v>
      </c>
      <c r="J7" s="71">
        <f t="shared" ref="J7:AB7" si="36">+J5+J6</f>
        <v>4690.4799999999996</v>
      </c>
      <c r="K7" s="71">
        <f t="shared" si="36"/>
        <v>225</v>
      </c>
      <c r="L7" s="71">
        <f t="shared" si="36"/>
        <v>0</v>
      </c>
      <c r="M7" s="71">
        <f t="shared" si="36"/>
        <v>4915.4799999999996</v>
      </c>
      <c r="N7" s="71">
        <f t="shared" si="36"/>
        <v>0</v>
      </c>
      <c r="O7" s="71">
        <f t="shared" si="36"/>
        <v>0</v>
      </c>
      <c r="P7" s="71">
        <f t="shared" si="36"/>
        <v>0</v>
      </c>
      <c r="Q7" s="71">
        <f t="shared" si="36"/>
        <v>0</v>
      </c>
      <c r="R7" s="71">
        <f t="shared" si="36"/>
        <v>4915.4799999999996</v>
      </c>
      <c r="S7" s="71">
        <f t="shared" si="36"/>
        <v>600</v>
      </c>
      <c r="T7" s="71">
        <f t="shared" si="36"/>
        <v>0</v>
      </c>
      <c r="U7" s="71">
        <f t="shared" si="36"/>
        <v>0</v>
      </c>
      <c r="V7" s="71">
        <f t="shared" si="36"/>
        <v>4309.17</v>
      </c>
      <c r="W7" s="71">
        <f t="shared" si="36"/>
        <v>691.91</v>
      </c>
      <c r="X7" s="71">
        <f t="shared" si="36"/>
        <v>606.30999999999995</v>
      </c>
      <c r="Y7" s="71">
        <f t="shared" si="36"/>
        <v>-91.909999999999968</v>
      </c>
      <c r="Z7" s="71">
        <f t="shared" si="36"/>
        <v>4309.17</v>
      </c>
      <c r="AA7" s="71">
        <f t="shared" si="36"/>
        <v>0</v>
      </c>
      <c r="AB7" s="71">
        <f t="shared" si="36"/>
        <v>4309.17</v>
      </c>
      <c r="AC7" s="43">
        <f t="shared" si="4"/>
        <v>0</v>
      </c>
      <c r="AD7" s="70">
        <f t="shared" ref="AD7:CQ7" si="37">+AD5+AD6</f>
        <v>4309.17</v>
      </c>
      <c r="AE7" s="70">
        <f t="shared" si="37"/>
        <v>600</v>
      </c>
      <c r="AF7" s="70">
        <f t="shared" si="37"/>
        <v>541.32000000000005</v>
      </c>
      <c r="AG7" s="70">
        <f t="shared" si="37"/>
        <v>1077</v>
      </c>
      <c r="AH7" s="70">
        <f t="shared" si="37"/>
        <v>150</v>
      </c>
      <c r="AI7" s="96">
        <f t="shared" si="37"/>
        <v>359</v>
      </c>
      <c r="AJ7" s="70">
        <f t="shared" si="37"/>
        <v>50</v>
      </c>
      <c r="AK7" s="70">
        <f t="shared" si="37"/>
        <v>0</v>
      </c>
      <c r="AL7" s="70">
        <f t="shared" si="37"/>
        <v>0</v>
      </c>
      <c r="AM7" s="70">
        <f t="shared" si="37"/>
        <v>1077.29</v>
      </c>
      <c r="AN7" s="70">
        <f t="shared" si="37"/>
        <v>146.1</v>
      </c>
      <c r="AO7" s="70">
        <f t="shared" si="37"/>
        <v>0</v>
      </c>
      <c r="AP7" s="70">
        <f t="shared" si="37"/>
        <v>0</v>
      </c>
      <c r="AQ7" s="70">
        <f t="shared" si="37"/>
        <v>2154.29</v>
      </c>
      <c r="AR7" s="70">
        <f t="shared" si="37"/>
        <v>296.10000000000002</v>
      </c>
      <c r="AS7" s="70">
        <f t="shared" si="37"/>
        <v>0</v>
      </c>
      <c r="AT7" s="70">
        <f t="shared" si="37"/>
        <v>0</v>
      </c>
      <c r="AU7" s="70">
        <f t="shared" si="37"/>
        <v>1077.29</v>
      </c>
      <c r="AV7" s="70">
        <f t="shared" si="37"/>
        <v>150</v>
      </c>
      <c r="AW7" s="70">
        <f t="shared" si="37"/>
        <v>0</v>
      </c>
      <c r="AX7" s="70">
        <f t="shared" si="37"/>
        <v>0</v>
      </c>
      <c r="AY7" s="70">
        <f t="shared" si="37"/>
        <v>3590.58</v>
      </c>
      <c r="AZ7" s="70">
        <f t="shared" si="37"/>
        <v>496.1</v>
      </c>
      <c r="BA7" s="70">
        <f t="shared" si="37"/>
        <v>4086.68</v>
      </c>
      <c r="BB7" s="70">
        <f t="shared" si="37"/>
        <v>3373.2999999999997</v>
      </c>
      <c r="BC7" s="70">
        <f t="shared" si="37"/>
        <v>495.56</v>
      </c>
      <c r="BD7" s="70">
        <f t="shared" si="37"/>
        <v>217.2800000000002</v>
      </c>
      <c r="BE7" s="70">
        <f t="shared" si="37"/>
        <v>0.54000000000002046</v>
      </c>
      <c r="BF7" s="70">
        <f t="shared" si="37"/>
        <v>674.66</v>
      </c>
      <c r="BG7" s="96">
        <f t="shared" si="37"/>
        <v>99.11</v>
      </c>
      <c r="BH7" s="96">
        <f t="shared" si="37"/>
        <v>228.7</v>
      </c>
      <c r="BI7" s="96">
        <f t="shared" si="37"/>
        <v>49.29</v>
      </c>
      <c r="BJ7" s="96">
        <f t="shared" si="37"/>
        <v>0</v>
      </c>
      <c r="BK7" s="96">
        <f t="shared" si="37"/>
        <v>0</v>
      </c>
      <c r="BL7" s="96">
        <f t="shared" si="37"/>
        <v>3819.2799999999997</v>
      </c>
      <c r="BM7" s="96">
        <f t="shared" si="37"/>
        <v>545.39</v>
      </c>
      <c r="BN7" s="96">
        <f t="shared" si="37"/>
        <v>4364.67</v>
      </c>
      <c r="BO7" s="96">
        <f t="shared" si="37"/>
        <v>3633.75</v>
      </c>
      <c r="BP7" s="96">
        <f t="shared" si="37"/>
        <v>527.89</v>
      </c>
      <c r="BQ7" s="70">
        <f t="shared" si="37"/>
        <v>185.52999999999997</v>
      </c>
      <c r="BR7" s="70">
        <f t="shared" si="37"/>
        <v>17.5</v>
      </c>
      <c r="BS7" s="70">
        <f t="shared" si="37"/>
        <v>330.34000000000003</v>
      </c>
      <c r="BT7" s="70">
        <f t="shared" si="37"/>
        <v>47.99</v>
      </c>
      <c r="BU7" s="70">
        <f t="shared" si="37"/>
        <v>154.79000000000002</v>
      </c>
      <c r="BV7" s="70">
        <f t="shared" si="37"/>
        <v>30.49</v>
      </c>
      <c r="BW7" s="70">
        <f t="shared" si="37"/>
        <v>95</v>
      </c>
      <c r="BX7" s="70">
        <f t="shared" si="37"/>
        <v>0</v>
      </c>
      <c r="BY7" s="70">
        <f t="shared" si="37"/>
        <v>0</v>
      </c>
      <c r="BZ7" s="70">
        <f t="shared" si="37"/>
        <v>0</v>
      </c>
      <c r="CA7" s="70">
        <f t="shared" si="37"/>
        <v>4069.0699999999997</v>
      </c>
      <c r="CB7" s="70">
        <f t="shared" si="37"/>
        <v>575.88</v>
      </c>
      <c r="CC7" s="70">
        <f t="shared" si="37"/>
        <v>4475.9799999999996</v>
      </c>
      <c r="CD7" s="70">
        <f t="shared" si="37"/>
        <v>662.26</v>
      </c>
      <c r="CE7" s="70">
        <f t="shared" si="37"/>
        <v>373</v>
      </c>
      <c r="CF7" s="70">
        <f t="shared" si="37"/>
        <v>55</v>
      </c>
      <c r="CG7" s="70">
        <f t="shared" si="37"/>
        <v>1017.27</v>
      </c>
      <c r="CH7" s="96">
        <f t="shared" si="37"/>
        <v>143.97</v>
      </c>
      <c r="CI7" s="70">
        <f t="shared" si="37"/>
        <v>0</v>
      </c>
      <c r="CJ7" s="70">
        <f t="shared" si="37"/>
        <v>0</v>
      </c>
      <c r="CK7" s="70">
        <f t="shared" si="37"/>
        <v>1105</v>
      </c>
      <c r="CL7" s="70">
        <f t="shared" si="37"/>
        <v>150</v>
      </c>
      <c r="CM7" s="70">
        <f t="shared" si="37"/>
        <v>0</v>
      </c>
      <c r="CN7" s="70">
        <f t="shared" si="37"/>
        <v>200</v>
      </c>
      <c r="CO7" s="70">
        <f t="shared" si="37"/>
        <v>4178.17</v>
      </c>
      <c r="CP7" s="70">
        <f t="shared" si="37"/>
        <v>660</v>
      </c>
      <c r="CQ7" s="70">
        <f t="shared" si="37"/>
        <v>4420</v>
      </c>
      <c r="CR7" s="70">
        <f t="shared" ref="CR7:DN7" si="38">+CR5+CR6</f>
        <v>600</v>
      </c>
      <c r="CS7" s="70">
        <f t="shared" si="38"/>
        <v>4178.17</v>
      </c>
      <c r="CT7" s="70">
        <f t="shared" si="38"/>
        <v>600</v>
      </c>
      <c r="CU7" s="70">
        <f t="shared" si="38"/>
        <v>4178.17</v>
      </c>
      <c r="CV7" s="70">
        <f t="shared" si="38"/>
        <v>660</v>
      </c>
      <c r="CW7" s="70">
        <f t="shared" si="38"/>
        <v>1044.54</v>
      </c>
      <c r="CX7" s="70">
        <f t="shared" si="38"/>
        <v>165</v>
      </c>
      <c r="CY7" s="70">
        <f t="shared" si="38"/>
        <v>0</v>
      </c>
      <c r="CZ7" s="70">
        <f t="shared" si="38"/>
        <v>0</v>
      </c>
      <c r="DA7" s="70">
        <f t="shared" si="38"/>
        <v>2522.54</v>
      </c>
      <c r="DB7" s="70">
        <f t="shared" si="38"/>
        <v>570</v>
      </c>
      <c r="DC7" s="70">
        <f t="shared" si="38"/>
        <v>2443.92</v>
      </c>
      <c r="DD7" s="70">
        <f t="shared" si="38"/>
        <v>495.23</v>
      </c>
      <c r="DE7" s="70">
        <f t="shared" si="38"/>
        <v>78.619999999999891</v>
      </c>
      <c r="DF7" s="70">
        <f t="shared" si="38"/>
        <v>74.769999999999982</v>
      </c>
      <c r="DG7" s="70">
        <f t="shared" si="38"/>
        <v>1044.54</v>
      </c>
      <c r="DH7" s="70">
        <f t="shared" si="38"/>
        <v>165</v>
      </c>
      <c r="DI7" s="70">
        <f t="shared" si="38"/>
        <v>965.92000000000007</v>
      </c>
      <c r="DJ7" s="70">
        <f t="shared" si="38"/>
        <v>90.000000000000014</v>
      </c>
      <c r="DK7" s="70">
        <f t="shared" si="38"/>
        <v>46</v>
      </c>
      <c r="DL7" s="70">
        <f t="shared" si="38"/>
        <v>0</v>
      </c>
      <c r="DM7" s="70">
        <f t="shared" si="38"/>
        <v>3534.46</v>
      </c>
      <c r="DN7" s="70">
        <f t="shared" si="38"/>
        <v>660</v>
      </c>
      <c r="DO7" s="97">
        <f t="shared" ref="DO7:EZ7" si="39">DO5+DO6</f>
        <v>3521.38</v>
      </c>
      <c r="DP7" s="98">
        <f t="shared" si="39"/>
        <v>590.78</v>
      </c>
      <c r="DQ7" s="98">
        <f t="shared" si="39"/>
        <v>13.08</v>
      </c>
      <c r="DR7" s="98">
        <f t="shared" si="39"/>
        <v>69.22</v>
      </c>
      <c r="DS7" s="98">
        <f t="shared" si="39"/>
        <v>352.13800000000003</v>
      </c>
      <c r="DT7" s="98">
        <f t="shared" si="39"/>
        <v>59.077999999999996</v>
      </c>
      <c r="DU7" s="98">
        <f t="shared" si="39"/>
        <v>339.05799999999999</v>
      </c>
      <c r="DV7" s="98">
        <f t="shared" si="39"/>
        <v>-10.142000000000003</v>
      </c>
      <c r="DW7" s="98">
        <f t="shared" si="39"/>
        <v>0</v>
      </c>
      <c r="DX7" s="98">
        <f t="shared" si="39"/>
        <v>0</v>
      </c>
      <c r="DY7" s="98">
        <f t="shared" si="39"/>
        <v>339.06</v>
      </c>
      <c r="DZ7" s="98">
        <f t="shared" si="39"/>
        <v>0</v>
      </c>
      <c r="EA7" s="98">
        <f t="shared" si="39"/>
        <v>0</v>
      </c>
      <c r="EB7" s="134">
        <f t="shared" si="39"/>
        <v>0</v>
      </c>
      <c r="EC7" s="140">
        <f t="shared" si="39"/>
        <v>3873.5200000000004</v>
      </c>
      <c r="ED7" s="140">
        <f t="shared" si="39"/>
        <v>660</v>
      </c>
      <c r="EE7" s="140">
        <f t="shared" si="39"/>
        <v>3757.14</v>
      </c>
      <c r="EF7" s="140">
        <f t="shared" si="39"/>
        <v>651.13</v>
      </c>
      <c r="EG7" s="140">
        <f t="shared" si="39"/>
        <v>190.64999999999998</v>
      </c>
      <c r="EH7" s="140" t="e">
        <f t="shared" si="39"/>
        <v>#DIV/0!</v>
      </c>
      <c r="EI7" s="140">
        <f t="shared" si="39"/>
        <v>116.38</v>
      </c>
      <c r="EJ7" s="140">
        <f t="shared" si="39"/>
        <v>8.8699999999999992</v>
      </c>
      <c r="EK7" s="140">
        <f t="shared" si="39"/>
        <v>341.56</v>
      </c>
      <c r="EL7" s="140">
        <f t="shared" si="39"/>
        <v>59.19</v>
      </c>
      <c r="EM7" s="140">
        <f t="shared" si="39"/>
        <v>225.18</v>
      </c>
      <c r="EN7" s="140">
        <f t="shared" si="39"/>
        <v>50.32</v>
      </c>
      <c r="EO7" s="140">
        <f t="shared" si="39"/>
        <v>234</v>
      </c>
      <c r="EP7" s="140">
        <f t="shared" si="39"/>
        <v>158.5</v>
      </c>
      <c r="EQ7" s="136">
        <f t="shared" si="39"/>
        <v>0</v>
      </c>
      <c r="ER7" s="47">
        <f t="shared" si="39"/>
        <v>0</v>
      </c>
      <c r="ES7" s="47">
        <f t="shared" si="39"/>
        <v>0</v>
      </c>
      <c r="ET7" s="47">
        <f t="shared" si="39"/>
        <v>145</v>
      </c>
      <c r="EU7" s="5">
        <f t="shared" si="35"/>
        <v>90.649999999999636</v>
      </c>
      <c r="EV7" s="5">
        <f t="shared" si="35"/>
        <v>-118.5</v>
      </c>
      <c r="EW7" s="47">
        <f t="shared" si="39"/>
        <v>4198.17</v>
      </c>
      <c r="EX7" s="47">
        <f t="shared" si="39"/>
        <v>700</v>
      </c>
      <c r="EY7" s="47">
        <f t="shared" si="39"/>
        <v>4612.49</v>
      </c>
      <c r="EZ7" s="47">
        <f t="shared" si="39"/>
        <v>450</v>
      </c>
      <c r="FA7" s="46">
        <v>495.23</v>
      </c>
      <c r="FB7" s="46">
        <v>495.23</v>
      </c>
    </row>
    <row r="8" spans="1:158" ht="18.75" x14ac:dyDescent="0.25">
      <c r="A8" s="37">
        <v>3</v>
      </c>
      <c r="B8" s="37"/>
      <c r="C8" s="91" t="s">
        <v>107</v>
      </c>
      <c r="D8" s="38" t="s">
        <v>108</v>
      </c>
      <c r="E8" s="39"/>
      <c r="F8" s="40">
        <v>2125</v>
      </c>
      <c r="G8" s="40">
        <v>413.40000000000009</v>
      </c>
      <c r="H8" s="40">
        <v>2125</v>
      </c>
      <c r="I8" s="40">
        <v>470.00000000000011</v>
      </c>
      <c r="J8" s="41">
        <v>2530</v>
      </c>
      <c r="K8" s="41">
        <v>13</v>
      </c>
      <c r="L8" s="41">
        <v>0.18</v>
      </c>
      <c r="M8" s="41">
        <f>J8+K8+L8</f>
        <v>2543.1799999999998</v>
      </c>
      <c r="N8" s="41">
        <v>0</v>
      </c>
      <c r="O8" s="41">
        <v>0</v>
      </c>
      <c r="P8" s="41">
        <v>0</v>
      </c>
      <c r="Q8" s="41">
        <f>N8+O8+P8</f>
        <v>0</v>
      </c>
      <c r="R8" s="41">
        <f>Q8+M8</f>
        <v>2543.1799999999998</v>
      </c>
      <c r="S8" s="41">
        <v>350</v>
      </c>
      <c r="T8" s="92"/>
      <c r="U8" s="92"/>
      <c r="V8" s="40">
        <f>ROUND(H8*1.0583,2)</f>
        <v>2248.89</v>
      </c>
      <c r="W8" s="40">
        <f>ROUND(I8*1.0327,2)</f>
        <v>485.37</v>
      </c>
      <c r="X8" s="43">
        <f t="shared" si="2"/>
        <v>294.28999999999996</v>
      </c>
      <c r="Y8" s="43">
        <f t="shared" si="2"/>
        <v>-135.37</v>
      </c>
      <c r="Z8" s="43">
        <f>AD8</f>
        <v>2248.89</v>
      </c>
      <c r="AA8" s="43"/>
      <c r="AB8" s="43">
        <f t="shared" si="3"/>
        <v>2248.89</v>
      </c>
      <c r="AC8" s="43">
        <f t="shared" si="4"/>
        <v>0</v>
      </c>
      <c r="AD8" s="43">
        <f>IF(X8&gt;0,V8,R8)</f>
        <v>2248.89</v>
      </c>
      <c r="AE8" s="43">
        <f>IF(Y8&gt;0,W8,S8)</f>
        <v>350</v>
      </c>
      <c r="AF8" s="43">
        <f t="shared" si="5"/>
        <v>315.77</v>
      </c>
      <c r="AG8" s="43">
        <f t="shared" si="6"/>
        <v>562</v>
      </c>
      <c r="AH8" s="43">
        <f t="shared" si="6"/>
        <v>88</v>
      </c>
      <c r="AI8" s="93">
        <f t="shared" si="7"/>
        <v>187</v>
      </c>
      <c r="AJ8" s="43">
        <f t="shared" si="7"/>
        <v>29</v>
      </c>
      <c r="AK8" s="43"/>
      <c r="AL8" s="43"/>
      <c r="AM8" s="43">
        <f t="shared" si="8"/>
        <v>562.22</v>
      </c>
      <c r="AN8" s="43">
        <f t="shared" si="9"/>
        <v>85.23</v>
      </c>
      <c r="AO8" s="43"/>
      <c r="AP8" s="43"/>
      <c r="AQ8" s="43">
        <f t="shared" si="10"/>
        <v>1124.22</v>
      </c>
      <c r="AR8" s="43">
        <f t="shared" si="10"/>
        <v>173.23000000000002</v>
      </c>
      <c r="AS8" s="43"/>
      <c r="AT8" s="43"/>
      <c r="AU8" s="43">
        <f t="shared" si="0"/>
        <v>562.22</v>
      </c>
      <c r="AV8" s="43">
        <f t="shared" si="0"/>
        <v>87.5</v>
      </c>
      <c r="AW8" s="43"/>
      <c r="AX8" s="43"/>
      <c r="AY8" s="43">
        <f t="shared" si="11"/>
        <v>1873.44</v>
      </c>
      <c r="AZ8" s="43">
        <f t="shared" si="11"/>
        <v>289.73</v>
      </c>
      <c r="BA8" s="43">
        <f t="shared" si="12"/>
        <v>2163.17</v>
      </c>
      <c r="BB8" s="60">
        <v>1826.67</v>
      </c>
      <c r="BC8" s="60">
        <v>183.63</v>
      </c>
      <c r="BD8" s="60">
        <f t="shared" si="13"/>
        <v>46.769999999999982</v>
      </c>
      <c r="BE8" s="60">
        <f t="shared" si="13"/>
        <v>106.10000000000002</v>
      </c>
      <c r="BF8" s="60">
        <f t="shared" si="14"/>
        <v>365.33</v>
      </c>
      <c r="BG8" s="60">
        <f t="shared" si="14"/>
        <v>36.729999999999997</v>
      </c>
      <c r="BH8" s="43">
        <v>159.28</v>
      </c>
      <c r="BI8" s="43">
        <v>0</v>
      </c>
      <c r="BJ8" s="43"/>
      <c r="BK8" s="43"/>
      <c r="BL8" s="43">
        <f t="shared" si="1"/>
        <v>2032.72</v>
      </c>
      <c r="BM8" s="43">
        <f t="shared" si="1"/>
        <v>289.73</v>
      </c>
      <c r="BN8" s="43">
        <f t="shared" si="15"/>
        <v>2322.4499999999998</v>
      </c>
      <c r="BO8" s="99">
        <v>2008.67</v>
      </c>
      <c r="BP8" s="100">
        <v>263.04000000000002</v>
      </c>
      <c r="BQ8" s="43">
        <f t="shared" si="16"/>
        <v>24.049999999999955</v>
      </c>
      <c r="BR8" s="43">
        <f t="shared" si="16"/>
        <v>26.689999999999998</v>
      </c>
      <c r="BS8" s="43">
        <f t="shared" si="17"/>
        <v>182.61</v>
      </c>
      <c r="BT8" s="43">
        <f t="shared" si="17"/>
        <v>23.91</v>
      </c>
      <c r="BU8" s="43">
        <f t="shared" ref="BU8:BU67" si="40">BS8-BQ8</f>
        <v>158.56000000000006</v>
      </c>
      <c r="BV8" s="43">
        <v>0</v>
      </c>
      <c r="BW8" s="43">
        <v>58.72</v>
      </c>
      <c r="BX8" s="43">
        <f>80+0.27</f>
        <v>80.27</v>
      </c>
      <c r="BY8" s="43"/>
      <c r="BZ8" s="43"/>
      <c r="CA8" s="43">
        <v>2250</v>
      </c>
      <c r="CB8" s="43">
        <v>370</v>
      </c>
      <c r="CC8" s="92">
        <v>2475</v>
      </c>
      <c r="CD8" s="92">
        <v>425.5</v>
      </c>
      <c r="CE8" s="92">
        <v>206</v>
      </c>
      <c r="CF8" s="92">
        <v>35</v>
      </c>
      <c r="CG8" s="92">
        <f t="shared" si="19"/>
        <v>562.5</v>
      </c>
      <c r="CH8" s="92">
        <f t="shared" si="19"/>
        <v>92.5</v>
      </c>
      <c r="CI8" s="43"/>
      <c r="CJ8" s="43"/>
      <c r="CK8" s="72">
        <f>725-65</f>
        <v>660</v>
      </c>
      <c r="CL8" s="43">
        <v>45</v>
      </c>
      <c r="CM8" s="43"/>
      <c r="CN8" s="43"/>
      <c r="CO8" s="43">
        <v>2407.1999999999998</v>
      </c>
      <c r="CP8" s="43">
        <v>325</v>
      </c>
      <c r="CQ8" s="43">
        <f t="shared" si="20"/>
        <v>2640</v>
      </c>
      <c r="CR8" s="43">
        <f t="shared" si="20"/>
        <v>180</v>
      </c>
      <c r="CS8" s="43">
        <f t="shared" si="21"/>
        <v>2407.1999999999998</v>
      </c>
      <c r="CT8" s="43">
        <f t="shared" si="21"/>
        <v>180</v>
      </c>
      <c r="CU8" s="43">
        <v>2407.1999999999998</v>
      </c>
      <c r="CV8" s="43">
        <v>350</v>
      </c>
      <c r="CW8" s="43">
        <f t="shared" si="22"/>
        <v>601.79999999999995</v>
      </c>
      <c r="CX8" s="43">
        <f>ROUND(CV8*25%,2)-10</f>
        <v>77.5</v>
      </c>
      <c r="CY8" s="43"/>
      <c r="CZ8" s="43"/>
      <c r="DA8" s="43">
        <f t="shared" si="23"/>
        <v>1467.8</v>
      </c>
      <c r="DB8" s="43">
        <f t="shared" si="23"/>
        <v>157.5</v>
      </c>
      <c r="DC8" s="43">
        <v>1352.84</v>
      </c>
      <c r="DD8" s="43">
        <v>58.18</v>
      </c>
      <c r="DE8" s="43">
        <f t="shared" si="24"/>
        <v>114.96000000000004</v>
      </c>
      <c r="DF8" s="43">
        <f t="shared" si="24"/>
        <v>99.32</v>
      </c>
      <c r="DG8" s="43">
        <f>ROUND(0.25*(MIN(CU8,EW8)),2)</f>
        <v>601.79999999999995</v>
      </c>
      <c r="DH8" s="43">
        <f>ROUND(0.25*(MIN(CV8,EX8)),2)</f>
        <v>87.5</v>
      </c>
      <c r="DI8" s="43">
        <f>+DG8-DE8</f>
        <v>486.83999999999992</v>
      </c>
      <c r="DJ8" s="43">
        <f>+DH8-DF8+11.82</f>
        <v>0</v>
      </c>
      <c r="DK8" s="43"/>
      <c r="DL8" s="43"/>
      <c r="DM8" s="43">
        <f t="shared" si="25"/>
        <v>1954.6399999999999</v>
      </c>
      <c r="DN8" s="43">
        <f t="shared" si="25"/>
        <v>157.5</v>
      </c>
      <c r="DO8" s="94">
        <v>1829.83</v>
      </c>
      <c r="DP8" s="99">
        <v>119.63</v>
      </c>
      <c r="DQ8" s="60">
        <f t="shared" si="26"/>
        <v>124.81</v>
      </c>
      <c r="DR8" s="60">
        <f t="shared" si="26"/>
        <v>37.869999999999997</v>
      </c>
      <c r="DS8" s="60">
        <f t="shared" si="27"/>
        <v>182.983</v>
      </c>
      <c r="DT8" s="60">
        <f t="shared" si="27"/>
        <v>11.962999999999999</v>
      </c>
      <c r="DU8" s="60">
        <f t="shared" si="28"/>
        <v>58.173000000000002</v>
      </c>
      <c r="DV8" s="60">
        <f t="shared" si="28"/>
        <v>-25.906999999999996</v>
      </c>
      <c r="DW8" s="60"/>
      <c r="DX8" s="60"/>
      <c r="DY8" s="60">
        <f t="shared" ref="DY8:DZ9" si="41">ROUND(DU8+DW8,2)</f>
        <v>58.17</v>
      </c>
      <c r="DZ8" s="60">
        <v>110</v>
      </c>
      <c r="EA8" s="60">
        <v>145.29</v>
      </c>
      <c r="EB8" s="60">
        <v>100</v>
      </c>
      <c r="EC8" s="43">
        <f t="shared" si="30"/>
        <v>2158.1</v>
      </c>
      <c r="ED8" s="43">
        <f t="shared" si="30"/>
        <v>367.5</v>
      </c>
      <c r="EE8" s="43">
        <v>2158.1</v>
      </c>
      <c r="EF8" s="43">
        <v>356.34</v>
      </c>
      <c r="EG8" s="43">
        <f t="shared" si="31"/>
        <v>100</v>
      </c>
      <c r="EH8" s="43">
        <f t="shared" si="31"/>
        <v>96.96</v>
      </c>
      <c r="EI8" s="43">
        <f t="shared" si="32"/>
        <v>0</v>
      </c>
      <c r="EJ8" s="43">
        <f t="shared" si="32"/>
        <v>11.16</v>
      </c>
      <c r="EK8" s="43">
        <f t="shared" si="33"/>
        <v>196.19</v>
      </c>
      <c r="EL8" s="43">
        <f t="shared" si="33"/>
        <v>32.39</v>
      </c>
      <c r="EM8" s="43">
        <f t="shared" si="34"/>
        <v>196.19</v>
      </c>
      <c r="EN8" s="43">
        <f t="shared" si="34"/>
        <v>21.23</v>
      </c>
      <c r="EO8" s="43">
        <v>330</v>
      </c>
      <c r="EP8" s="43">
        <v>0</v>
      </c>
      <c r="EQ8" s="5"/>
      <c r="ER8" s="5"/>
      <c r="ES8" s="5"/>
      <c r="ET8" s="5">
        <v>212.5</v>
      </c>
      <c r="EU8" s="5">
        <f t="shared" si="35"/>
        <v>-33.099999999999909</v>
      </c>
      <c r="EV8" s="5">
        <f t="shared" si="35"/>
        <v>2.5</v>
      </c>
      <c r="EW8" s="5">
        <v>2455</v>
      </c>
      <c r="EX8" s="5">
        <v>370</v>
      </c>
      <c r="EY8" s="5">
        <v>2501</v>
      </c>
      <c r="EZ8" s="5">
        <v>375</v>
      </c>
      <c r="FA8">
        <v>2416.15</v>
      </c>
    </row>
    <row r="9" spans="1:158" ht="18.75" x14ac:dyDescent="0.25">
      <c r="A9" s="37">
        <v>4</v>
      </c>
      <c r="B9" s="37"/>
      <c r="C9" s="91" t="s">
        <v>107</v>
      </c>
      <c r="D9" s="38" t="s">
        <v>109</v>
      </c>
      <c r="E9" s="39"/>
      <c r="F9" s="40">
        <v>284.39000000000004</v>
      </c>
      <c r="G9" s="40">
        <v>0</v>
      </c>
      <c r="H9" s="40">
        <v>303.47000000000003</v>
      </c>
      <c r="I9" s="40">
        <v>0</v>
      </c>
      <c r="J9" s="41">
        <v>279</v>
      </c>
      <c r="K9" s="41">
        <v>0</v>
      </c>
      <c r="L9" s="41">
        <v>0</v>
      </c>
      <c r="M9" s="41">
        <f>J9+K9+L9</f>
        <v>279</v>
      </c>
      <c r="N9" s="41">
        <v>54.75</v>
      </c>
      <c r="O9" s="41">
        <v>0</v>
      </c>
      <c r="P9" s="41">
        <v>0</v>
      </c>
      <c r="Q9" s="41">
        <f>N9+O9+P9</f>
        <v>54.75</v>
      </c>
      <c r="R9" s="41">
        <f>Q9+M9</f>
        <v>333.75</v>
      </c>
      <c r="S9" s="41">
        <v>0</v>
      </c>
      <c r="T9" s="92"/>
      <c r="U9" s="92"/>
      <c r="V9" s="40">
        <f>ROUND(H9*1.0583,2)</f>
        <v>321.16000000000003</v>
      </c>
      <c r="W9" s="40">
        <f>ROUND(I9*1.0327,2)</f>
        <v>0</v>
      </c>
      <c r="X9" s="43">
        <f t="shared" si="2"/>
        <v>12.589999999999975</v>
      </c>
      <c r="Y9" s="43">
        <f t="shared" si="2"/>
        <v>0</v>
      </c>
      <c r="Z9" s="43">
        <v>270</v>
      </c>
      <c r="AA9" s="43">
        <v>51.16</v>
      </c>
      <c r="AB9" s="43">
        <f t="shared" si="3"/>
        <v>321.15999999999997</v>
      </c>
      <c r="AC9" s="43">
        <f t="shared" si="4"/>
        <v>0</v>
      </c>
      <c r="AD9" s="43">
        <f>IF(X9&gt;0,V9,R9)</f>
        <v>321.16000000000003</v>
      </c>
      <c r="AE9" s="43">
        <f>IF(Y9&gt;0,W9,S9)</f>
        <v>0</v>
      </c>
      <c r="AF9" s="43">
        <f t="shared" si="5"/>
        <v>0</v>
      </c>
      <c r="AG9" s="43">
        <f t="shared" si="6"/>
        <v>80</v>
      </c>
      <c r="AH9" s="43">
        <f t="shared" si="6"/>
        <v>0</v>
      </c>
      <c r="AI9" s="93">
        <f t="shared" si="7"/>
        <v>27</v>
      </c>
      <c r="AJ9" s="43">
        <f t="shared" si="7"/>
        <v>0</v>
      </c>
      <c r="AK9" s="43"/>
      <c r="AL9" s="43"/>
      <c r="AM9" s="43">
        <f t="shared" si="8"/>
        <v>80.290000000000006</v>
      </c>
      <c r="AN9" s="43">
        <f t="shared" si="9"/>
        <v>0</v>
      </c>
      <c r="AO9" s="43"/>
      <c r="AP9" s="43"/>
      <c r="AQ9" s="43">
        <f t="shared" si="10"/>
        <v>160.29000000000002</v>
      </c>
      <c r="AR9" s="43">
        <f t="shared" si="10"/>
        <v>0</v>
      </c>
      <c r="AS9" s="43"/>
      <c r="AT9" s="43"/>
      <c r="AU9" s="43">
        <f t="shared" si="0"/>
        <v>80.290000000000006</v>
      </c>
      <c r="AV9" s="43">
        <f t="shared" si="0"/>
        <v>0</v>
      </c>
      <c r="AW9" s="43"/>
      <c r="AX9" s="43"/>
      <c r="AY9" s="43">
        <f t="shared" si="11"/>
        <v>267.58000000000004</v>
      </c>
      <c r="AZ9" s="43">
        <f t="shared" si="11"/>
        <v>0</v>
      </c>
      <c r="BA9" s="43">
        <f t="shared" si="12"/>
        <v>267.58000000000004</v>
      </c>
      <c r="BB9" s="60">
        <v>267.58</v>
      </c>
      <c r="BC9" s="60"/>
      <c r="BD9" s="60">
        <f t="shared" si="13"/>
        <v>0</v>
      </c>
      <c r="BE9" s="60">
        <f t="shared" si="13"/>
        <v>0</v>
      </c>
      <c r="BF9" s="60">
        <f t="shared" si="14"/>
        <v>53.52</v>
      </c>
      <c r="BG9" s="60">
        <f t="shared" si="14"/>
        <v>0</v>
      </c>
      <c r="BH9" s="43">
        <v>26.76</v>
      </c>
      <c r="BI9" s="43">
        <v>0</v>
      </c>
      <c r="BJ9" s="43"/>
      <c r="BK9" s="43"/>
      <c r="BL9" s="43">
        <f t="shared" si="1"/>
        <v>294.34000000000003</v>
      </c>
      <c r="BM9" s="43">
        <f t="shared" si="1"/>
        <v>0</v>
      </c>
      <c r="BN9" s="43">
        <f t="shared" si="15"/>
        <v>294.34000000000003</v>
      </c>
      <c r="BO9" s="99">
        <f>273.64+20.8</f>
        <v>294.44</v>
      </c>
      <c r="BP9" s="101"/>
      <c r="BQ9" s="43">
        <f t="shared" si="16"/>
        <v>-9.9999999999965894E-2</v>
      </c>
      <c r="BR9" s="43">
        <f t="shared" si="16"/>
        <v>0</v>
      </c>
      <c r="BS9" s="43">
        <f t="shared" si="17"/>
        <v>26.77</v>
      </c>
      <c r="BT9" s="43">
        <f t="shared" si="17"/>
        <v>0</v>
      </c>
      <c r="BU9" s="43">
        <f t="shared" si="40"/>
        <v>26.869999999999965</v>
      </c>
      <c r="BV9" s="43">
        <f t="shared" si="18"/>
        <v>0</v>
      </c>
      <c r="BW9" s="43">
        <v>68.790000000000006</v>
      </c>
      <c r="BX9" s="43"/>
      <c r="BY9" s="43"/>
      <c r="BZ9" s="43"/>
      <c r="CA9" s="43">
        <v>390</v>
      </c>
      <c r="CB9" s="43">
        <v>0</v>
      </c>
      <c r="CC9" s="92">
        <v>429</v>
      </c>
      <c r="CD9" s="92">
        <v>0</v>
      </c>
      <c r="CE9" s="92">
        <v>36</v>
      </c>
      <c r="CF9" s="92">
        <v>0</v>
      </c>
      <c r="CG9" s="92">
        <f t="shared" si="19"/>
        <v>97.5</v>
      </c>
      <c r="CH9" s="92">
        <f t="shared" si="19"/>
        <v>0</v>
      </c>
      <c r="CI9" s="43"/>
      <c r="CJ9" s="43"/>
      <c r="CK9" s="43">
        <v>105</v>
      </c>
      <c r="CL9" s="43">
        <v>0</v>
      </c>
      <c r="CM9" s="43"/>
      <c r="CN9" s="43"/>
      <c r="CO9" s="43">
        <v>591.87</v>
      </c>
      <c r="CP9" s="43"/>
      <c r="CQ9" s="43">
        <f t="shared" si="20"/>
        <v>420</v>
      </c>
      <c r="CR9" s="43">
        <f t="shared" si="20"/>
        <v>0</v>
      </c>
      <c r="CS9" s="43">
        <f t="shared" si="21"/>
        <v>420</v>
      </c>
      <c r="CT9" s="43">
        <f t="shared" si="21"/>
        <v>0</v>
      </c>
      <c r="CU9" s="43">
        <v>420</v>
      </c>
      <c r="CV9" s="43">
        <v>0</v>
      </c>
      <c r="CW9" s="43">
        <f t="shared" si="22"/>
        <v>105</v>
      </c>
      <c r="CX9" s="43">
        <f t="shared" si="22"/>
        <v>0</v>
      </c>
      <c r="CY9" s="43"/>
      <c r="CZ9" s="43"/>
      <c r="DA9" s="43">
        <f t="shared" si="23"/>
        <v>246</v>
      </c>
      <c r="DB9" s="43">
        <f t="shared" si="23"/>
        <v>0</v>
      </c>
      <c r="DC9" s="43">
        <v>197.9</v>
      </c>
      <c r="DD9" s="43">
        <v>0</v>
      </c>
      <c r="DE9" s="43">
        <f t="shared" si="24"/>
        <v>48.099999999999994</v>
      </c>
      <c r="DF9" s="43">
        <f t="shared" si="24"/>
        <v>0</v>
      </c>
      <c r="DG9" s="43">
        <f>ROUND(0.25*(MIN(CU9,EW9)),2)</f>
        <v>105</v>
      </c>
      <c r="DH9" s="43">
        <f>ROUND(0.25*(MIN(CV9,EX9)),2)</f>
        <v>0</v>
      </c>
      <c r="DI9" s="43">
        <f>+DG9-DE9</f>
        <v>56.900000000000006</v>
      </c>
      <c r="DJ9" s="43">
        <f>+DH9-DF9</f>
        <v>0</v>
      </c>
      <c r="DK9" s="43"/>
      <c r="DL9" s="43"/>
      <c r="DM9" s="43">
        <f t="shared" si="25"/>
        <v>302.89999999999998</v>
      </c>
      <c r="DN9" s="43">
        <f t="shared" si="25"/>
        <v>0</v>
      </c>
      <c r="DO9" s="94">
        <v>290.39999999999998</v>
      </c>
      <c r="DP9" s="95">
        <v>0</v>
      </c>
      <c r="DQ9" s="60">
        <f t="shared" si="26"/>
        <v>12.5</v>
      </c>
      <c r="DR9" s="60">
        <f t="shared" si="26"/>
        <v>0</v>
      </c>
      <c r="DS9" s="60">
        <f t="shared" si="27"/>
        <v>29.04</v>
      </c>
      <c r="DT9" s="60">
        <f t="shared" si="27"/>
        <v>0</v>
      </c>
      <c r="DU9" s="60">
        <f t="shared" si="28"/>
        <v>16.54</v>
      </c>
      <c r="DV9" s="60">
        <f t="shared" si="28"/>
        <v>0</v>
      </c>
      <c r="DW9" s="60"/>
      <c r="DX9" s="60"/>
      <c r="DY9" s="60">
        <f t="shared" si="41"/>
        <v>16.54</v>
      </c>
      <c r="DZ9" s="60">
        <f t="shared" si="41"/>
        <v>0</v>
      </c>
      <c r="EA9" s="60"/>
      <c r="EB9" s="60"/>
      <c r="EC9" s="43">
        <f t="shared" si="30"/>
        <v>319.44</v>
      </c>
      <c r="ED9" s="43">
        <f t="shared" si="30"/>
        <v>0</v>
      </c>
      <c r="EE9" s="43">
        <v>319.44</v>
      </c>
      <c r="EF9" s="43">
        <v>0</v>
      </c>
      <c r="EG9" s="43">
        <f t="shared" si="31"/>
        <v>100</v>
      </c>
      <c r="EH9" s="43" t="e">
        <f t="shared" si="31"/>
        <v>#DIV/0!</v>
      </c>
      <c r="EI9" s="43">
        <f t="shared" si="32"/>
        <v>0</v>
      </c>
      <c r="EJ9" s="43">
        <f t="shared" si="32"/>
        <v>0</v>
      </c>
      <c r="EK9" s="43">
        <f t="shared" si="33"/>
        <v>29.04</v>
      </c>
      <c r="EL9" s="43">
        <f t="shared" si="33"/>
        <v>0</v>
      </c>
      <c r="EM9" s="43">
        <f t="shared" si="34"/>
        <v>29.04</v>
      </c>
      <c r="EN9" s="43">
        <f t="shared" si="34"/>
        <v>0</v>
      </c>
      <c r="EO9" s="43">
        <v>35</v>
      </c>
      <c r="EP9" s="43">
        <v>0</v>
      </c>
      <c r="EQ9" s="5"/>
      <c r="ER9" s="5"/>
      <c r="ES9" s="5"/>
      <c r="ET9" s="5"/>
      <c r="EU9" s="5">
        <f>+EW9-EC9-EO9</f>
        <v>65.56</v>
      </c>
      <c r="EV9" s="5">
        <f>+EX9-ED9-EP9</f>
        <v>0</v>
      </c>
      <c r="EW9" s="5">
        <v>420</v>
      </c>
      <c r="EX9" s="5">
        <v>0</v>
      </c>
      <c r="EY9" s="5">
        <v>452.89</v>
      </c>
      <c r="EZ9" s="5">
        <v>0</v>
      </c>
    </row>
    <row r="10" spans="1:158" ht="18.75" x14ac:dyDescent="0.25">
      <c r="A10" s="68"/>
      <c r="B10" s="68" t="s">
        <v>110</v>
      </c>
      <c r="C10" s="91" t="s">
        <v>107</v>
      </c>
      <c r="D10" s="67" t="s">
        <v>108</v>
      </c>
      <c r="E10" s="69" t="s">
        <v>111</v>
      </c>
      <c r="F10" s="70">
        <v>2409.39</v>
      </c>
      <c r="G10" s="70">
        <v>413.40000000000009</v>
      </c>
      <c r="H10" s="70">
        <v>2428.4700000000003</v>
      </c>
      <c r="I10" s="70">
        <v>470.00000000000011</v>
      </c>
      <c r="J10" s="71">
        <f t="shared" ref="J10:AB10" si="42">+J8+J9</f>
        <v>2809</v>
      </c>
      <c r="K10" s="71">
        <f t="shared" si="42"/>
        <v>13</v>
      </c>
      <c r="L10" s="71">
        <f t="shared" si="42"/>
        <v>0.18</v>
      </c>
      <c r="M10" s="71">
        <f t="shared" si="42"/>
        <v>2822.18</v>
      </c>
      <c r="N10" s="71">
        <f t="shared" si="42"/>
        <v>54.75</v>
      </c>
      <c r="O10" s="71">
        <f t="shared" si="42"/>
        <v>0</v>
      </c>
      <c r="P10" s="71">
        <f t="shared" si="42"/>
        <v>0</v>
      </c>
      <c r="Q10" s="71">
        <f t="shared" si="42"/>
        <v>54.75</v>
      </c>
      <c r="R10" s="71">
        <f t="shared" si="42"/>
        <v>2876.93</v>
      </c>
      <c r="S10" s="71">
        <f t="shared" si="42"/>
        <v>350</v>
      </c>
      <c r="T10" s="71">
        <f t="shared" si="42"/>
        <v>0</v>
      </c>
      <c r="U10" s="71">
        <f t="shared" si="42"/>
        <v>0</v>
      </c>
      <c r="V10" s="71">
        <f t="shared" si="42"/>
        <v>2570.0499999999997</v>
      </c>
      <c r="W10" s="71">
        <f t="shared" si="42"/>
        <v>485.37</v>
      </c>
      <c r="X10" s="71">
        <f t="shared" si="42"/>
        <v>306.87999999999994</v>
      </c>
      <c r="Y10" s="71">
        <f t="shared" si="42"/>
        <v>-135.37</v>
      </c>
      <c r="Z10" s="71">
        <f t="shared" si="42"/>
        <v>2518.89</v>
      </c>
      <c r="AA10" s="71">
        <f t="shared" si="42"/>
        <v>51.16</v>
      </c>
      <c r="AB10" s="71">
        <f t="shared" si="42"/>
        <v>2570.0499999999997</v>
      </c>
      <c r="AC10" s="43">
        <f t="shared" si="4"/>
        <v>0</v>
      </c>
      <c r="AD10" s="70">
        <f t="shared" ref="AD10:CP10" si="43">+AD8+AD9</f>
        <v>2570.0499999999997</v>
      </c>
      <c r="AE10" s="70">
        <f t="shared" si="43"/>
        <v>350</v>
      </c>
      <c r="AF10" s="70">
        <f t="shared" si="43"/>
        <v>315.77</v>
      </c>
      <c r="AG10" s="70">
        <f t="shared" si="43"/>
        <v>642</v>
      </c>
      <c r="AH10" s="70">
        <f t="shared" si="43"/>
        <v>88</v>
      </c>
      <c r="AI10" s="96">
        <f t="shared" si="43"/>
        <v>214</v>
      </c>
      <c r="AJ10" s="70">
        <f t="shared" si="43"/>
        <v>29</v>
      </c>
      <c r="AK10" s="70">
        <f t="shared" si="43"/>
        <v>0</v>
      </c>
      <c r="AL10" s="70">
        <f t="shared" si="43"/>
        <v>0</v>
      </c>
      <c r="AM10" s="70">
        <f t="shared" si="43"/>
        <v>642.51</v>
      </c>
      <c r="AN10" s="70">
        <f t="shared" si="43"/>
        <v>85.23</v>
      </c>
      <c r="AO10" s="70">
        <f t="shared" si="43"/>
        <v>0</v>
      </c>
      <c r="AP10" s="70">
        <f t="shared" si="43"/>
        <v>0</v>
      </c>
      <c r="AQ10" s="70">
        <f t="shared" si="43"/>
        <v>1284.51</v>
      </c>
      <c r="AR10" s="70">
        <f t="shared" si="43"/>
        <v>173.23000000000002</v>
      </c>
      <c r="AS10" s="70">
        <f t="shared" si="43"/>
        <v>0</v>
      </c>
      <c r="AT10" s="70">
        <f t="shared" si="43"/>
        <v>0</v>
      </c>
      <c r="AU10" s="70">
        <f t="shared" si="43"/>
        <v>642.51</v>
      </c>
      <c r="AV10" s="70">
        <f t="shared" si="43"/>
        <v>87.5</v>
      </c>
      <c r="AW10" s="70">
        <f t="shared" si="43"/>
        <v>0</v>
      </c>
      <c r="AX10" s="70">
        <f t="shared" si="43"/>
        <v>0</v>
      </c>
      <c r="AY10" s="70">
        <f t="shared" si="43"/>
        <v>2141.02</v>
      </c>
      <c r="AZ10" s="70">
        <f t="shared" si="43"/>
        <v>289.73</v>
      </c>
      <c r="BA10" s="70">
        <f t="shared" si="43"/>
        <v>2430.75</v>
      </c>
      <c r="BB10" s="70">
        <f t="shared" si="43"/>
        <v>2094.25</v>
      </c>
      <c r="BC10" s="70">
        <f t="shared" si="43"/>
        <v>183.63</v>
      </c>
      <c r="BD10" s="70">
        <f t="shared" si="43"/>
        <v>46.769999999999982</v>
      </c>
      <c r="BE10" s="70">
        <f t="shared" si="43"/>
        <v>106.10000000000002</v>
      </c>
      <c r="BF10" s="70">
        <f t="shared" si="43"/>
        <v>418.84999999999997</v>
      </c>
      <c r="BG10" s="96">
        <f t="shared" si="43"/>
        <v>36.729999999999997</v>
      </c>
      <c r="BH10" s="96">
        <f t="shared" si="43"/>
        <v>186.04</v>
      </c>
      <c r="BI10" s="96">
        <f t="shared" si="43"/>
        <v>0</v>
      </c>
      <c r="BJ10" s="96">
        <f t="shared" si="43"/>
        <v>0</v>
      </c>
      <c r="BK10" s="96">
        <f t="shared" si="43"/>
        <v>0</v>
      </c>
      <c r="BL10" s="96">
        <f t="shared" si="43"/>
        <v>2327.06</v>
      </c>
      <c r="BM10" s="96">
        <f t="shared" si="43"/>
        <v>289.73</v>
      </c>
      <c r="BN10" s="96">
        <f t="shared" si="43"/>
        <v>2616.79</v>
      </c>
      <c r="BO10" s="96">
        <f t="shared" si="43"/>
        <v>2303.11</v>
      </c>
      <c r="BP10" s="96">
        <f t="shared" si="43"/>
        <v>263.04000000000002</v>
      </c>
      <c r="BQ10" s="70">
        <f t="shared" si="43"/>
        <v>23.949999999999989</v>
      </c>
      <c r="BR10" s="70">
        <f t="shared" si="43"/>
        <v>26.689999999999998</v>
      </c>
      <c r="BS10" s="70">
        <f t="shared" si="43"/>
        <v>209.38000000000002</v>
      </c>
      <c r="BT10" s="70">
        <f t="shared" si="43"/>
        <v>23.91</v>
      </c>
      <c r="BU10" s="70">
        <f t="shared" si="43"/>
        <v>185.43000000000004</v>
      </c>
      <c r="BV10" s="70">
        <f t="shared" si="43"/>
        <v>0</v>
      </c>
      <c r="BW10" s="70">
        <f t="shared" si="43"/>
        <v>127.51</v>
      </c>
      <c r="BX10" s="70">
        <f t="shared" si="43"/>
        <v>80.27</v>
      </c>
      <c r="BY10" s="70">
        <f t="shared" si="43"/>
        <v>0</v>
      </c>
      <c r="BZ10" s="70">
        <f t="shared" si="43"/>
        <v>0</v>
      </c>
      <c r="CA10" s="70">
        <f t="shared" si="43"/>
        <v>2640</v>
      </c>
      <c r="CB10" s="70">
        <f t="shared" si="43"/>
        <v>370</v>
      </c>
      <c r="CC10" s="70">
        <f t="shared" si="43"/>
        <v>2904</v>
      </c>
      <c r="CD10" s="70">
        <f t="shared" si="43"/>
        <v>425.5</v>
      </c>
      <c r="CE10" s="70">
        <f t="shared" si="43"/>
        <v>242</v>
      </c>
      <c r="CF10" s="70">
        <f t="shared" si="43"/>
        <v>35</v>
      </c>
      <c r="CG10" s="70">
        <f t="shared" si="43"/>
        <v>660</v>
      </c>
      <c r="CH10" s="96">
        <f t="shared" si="43"/>
        <v>92.5</v>
      </c>
      <c r="CI10" s="70">
        <f t="shared" si="43"/>
        <v>0</v>
      </c>
      <c r="CJ10" s="70">
        <f t="shared" si="43"/>
        <v>0</v>
      </c>
      <c r="CK10" s="70">
        <f t="shared" si="43"/>
        <v>765</v>
      </c>
      <c r="CL10" s="70">
        <f t="shared" si="43"/>
        <v>45</v>
      </c>
      <c r="CM10" s="70">
        <f t="shared" si="43"/>
        <v>0</v>
      </c>
      <c r="CN10" s="70">
        <f t="shared" si="43"/>
        <v>0</v>
      </c>
      <c r="CO10" s="70">
        <f t="shared" si="43"/>
        <v>2999.0699999999997</v>
      </c>
      <c r="CP10" s="70">
        <f t="shared" si="43"/>
        <v>325</v>
      </c>
      <c r="CQ10" s="70">
        <f t="shared" ref="CQ10:EZ10" si="44">+CQ8+CQ9</f>
        <v>3060</v>
      </c>
      <c r="CR10" s="70">
        <f t="shared" si="44"/>
        <v>180</v>
      </c>
      <c r="CS10" s="70">
        <f t="shared" si="44"/>
        <v>2827.2</v>
      </c>
      <c r="CT10" s="70">
        <f t="shared" si="44"/>
        <v>180</v>
      </c>
      <c r="CU10" s="70">
        <f t="shared" si="44"/>
        <v>2827.2</v>
      </c>
      <c r="CV10" s="70">
        <f t="shared" si="44"/>
        <v>350</v>
      </c>
      <c r="CW10" s="70">
        <f t="shared" si="44"/>
        <v>706.8</v>
      </c>
      <c r="CX10" s="70">
        <f t="shared" si="44"/>
        <v>77.5</v>
      </c>
      <c r="CY10" s="70">
        <f t="shared" si="44"/>
        <v>0</v>
      </c>
      <c r="CZ10" s="70">
        <f t="shared" si="44"/>
        <v>0</v>
      </c>
      <c r="DA10" s="70">
        <f t="shared" si="44"/>
        <v>1713.8</v>
      </c>
      <c r="DB10" s="70">
        <f t="shared" si="44"/>
        <v>157.5</v>
      </c>
      <c r="DC10" s="70">
        <f t="shared" si="44"/>
        <v>1550.74</v>
      </c>
      <c r="DD10" s="70">
        <f t="shared" si="44"/>
        <v>58.18</v>
      </c>
      <c r="DE10" s="70">
        <f t="shared" si="44"/>
        <v>163.06000000000003</v>
      </c>
      <c r="DF10" s="70">
        <f t="shared" si="44"/>
        <v>99.32</v>
      </c>
      <c r="DG10" s="70">
        <f t="shared" si="44"/>
        <v>706.8</v>
      </c>
      <c r="DH10" s="70">
        <f t="shared" si="44"/>
        <v>87.5</v>
      </c>
      <c r="DI10" s="70">
        <f t="shared" si="44"/>
        <v>543.7399999999999</v>
      </c>
      <c r="DJ10" s="70">
        <f t="shared" si="44"/>
        <v>0</v>
      </c>
      <c r="DK10" s="70">
        <f t="shared" si="44"/>
        <v>0</v>
      </c>
      <c r="DL10" s="70">
        <f t="shared" si="44"/>
        <v>0</v>
      </c>
      <c r="DM10" s="70">
        <f t="shared" si="44"/>
        <v>2257.54</v>
      </c>
      <c r="DN10" s="70">
        <f t="shared" si="44"/>
        <v>157.5</v>
      </c>
      <c r="DO10" s="97">
        <f t="shared" ref="DO10:ET10" si="45">DO8+DO9</f>
        <v>2120.23</v>
      </c>
      <c r="DP10" s="98">
        <f t="shared" si="45"/>
        <v>119.63</v>
      </c>
      <c r="DQ10" s="98">
        <f t="shared" si="45"/>
        <v>137.31</v>
      </c>
      <c r="DR10" s="98">
        <f t="shared" si="45"/>
        <v>37.869999999999997</v>
      </c>
      <c r="DS10" s="98">
        <f t="shared" si="45"/>
        <v>212.023</v>
      </c>
      <c r="DT10" s="98">
        <f t="shared" si="45"/>
        <v>11.962999999999999</v>
      </c>
      <c r="DU10" s="98">
        <f t="shared" si="45"/>
        <v>74.712999999999994</v>
      </c>
      <c r="DV10" s="98">
        <f t="shared" si="45"/>
        <v>-25.906999999999996</v>
      </c>
      <c r="DW10" s="98">
        <f t="shared" si="45"/>
        <v>0</v>
      </c>
      <c r="DX10" s="98">
        <f t="shared" si="45"/>
        <v>0</v>
      </c>
      <c r="DY10" s="98">
        <f t="shared" si="45"/>
        <v>74.710000000000008</v>
      </c>
      <c r="DZ10" s="98">
        <f t="shared" si="45"/>
        <v>110</v>
      </c>
      <c r="EA10" s="98">
        <f t="shared" si="45"/>
        <v>145.29</v>
      </c>
      <c r="EB10" s="134">
        <f t="shared" si="45"/>
        <v>100</v>
      </c>
      <c r="EC10" s="140">
        <f t="shared" si="45"/>
        <v>2477.54</v>
      </c>
      <c r="ED10" s="140">
        <f t="shared" si="45"/>
        <v>367.5</v>
      </c>
      <c r="EE10" s="140">
        <f t="shared" si="45"/>
        <v>2477.54</v>
      </c>
      <c r="EF10" s="140">
        <f t="shared" si="45"/>
        <v>356.34</v>
      </c>
      <c r="EG10" s="140">
        <f t="shared" si="45"/>
        <v>200</v>
      </c>
      <c r="EH10" s="140" t="e">
        <f t="shared" si="45"/>
        <v>#DIV/0!</v>
      </c>
      <c r="EI10" s="140">
        <f t="shared" si="45"/>
        <v>0</v>
      </c>
      <c r="EJ10" s="140">
        <f t="shared" si="45"/>
        <v>11.16</v>
      </c>
      <c r="EK10" s="140">
        <f t="shared" si="45"/>
        <v>225.23</v>
      </c>
      <c r="EL10" s="140">
        <f t="shared" si="45"/>
        <v>32.39</v>
      </c>
      <c r="EM10" s="140">
        <f t="shared" si="45"/>
        <v>225.23</v>
      </c>
      <c r="EN10" s="140">
        <f t="shared" si="45"/>
        <v>21.23</v>
      </c>
      <c r="EO10" s="140">
        <f t="shared" si="45"/>
        <v>365</v>
      </c>
      <c r="EP10" s="140">
        <f t="shared" si="45"/>
        <v>0</v>
      </c>
      <c r="EQ10" s="136">
        <f t="shared" si="45"/>
        <v>0</v>
      </c>
      <c r="ER10" s="47"/>
      <c r="ES10" s="47">
        <f t="shared" si="45"/>
        <v>0</v>
      </c>
      <c r="ET10" s="47">
        <f t="shared" si="45"/>
        <v>212.5</v>
      </c>
      <c r="EU10" s="5">
        <f t="shared" ref="EU10:EV11" si="46">+EW10-EC10-EO10</f>
        <v>32.460000000000036</v>
      </c>
      <c r="EV10" s="5">
        <f t="shared" si="46"/>
        <v>2.5</v>
      </c>
      <c r="EW10" s="46">
        <f t="shared" si="44"/>
        <v>2875</v>
      </c>
      <c r="EX10" s="46">
        <f t="shared" si="44"/>
        <v>370</v>
      </c>
      <c r="EY10" s="46">
        <f t="shared" si="44"/>
        <v>2953.89</v>
      </c>
      <c r="EZ10" s="46">
        <f t="shared" si="44"/>
        <v>375</v>
      </c>
    </row>
    <row r="11" spans="1:158" ht="18.75" x14ac:dyDescent="0.25">
      <c r="A11" s="37">
        <v>5</v>
      </c>
      <c r="B11" s="37"/>
      <c r="C11" s="91" t="s">
        <v>112</v>
      </c>
      <c r="D11" s="38" t="s">
        <v>113</v>
      </c>
      <c r="E11" s="39"/>
      <c r="F11" s="40">
        <v>3460</v>
      </c>
      <c r="G11" s="40">
        <v>4335.1900000000005</v>
      </c>
      <c r="H11" s="40">
        <v>3460</v>
      </c>
      <c r="I11" s="40">
        <v>4365.1900000000005</v>
      </c>
      <c r="J11" s="41">
        <v>3699.7</v>
      </c>
      <c r="K11" s="41">
        <v>0</v>
      </c>
      <c r="L11" s="41">
        <v>0.3</v>
      </c>
      <c r="M11" s="41">
        <f>J11+K11+L11</f>
        <v>3700</v>
      </c>
      <c r="N11" s="41">
        <v>0</v>
      </c>
      <c r="O11" s="41">
        <v>0</v>
      </c>
      <c r="P11" s="41">
        <v>0</v>
      </c>
      <c r="Q11" s="41">
        <f>N11+O11+P11</f>
        <v>0</v>
      </c>
      <c r="R11" s="41">
        <f>Q11+M11</f>
        <v>3700</v>
      </c>
      <c r="S11" s="41">
        <v>4800</v>
      </c>
      <c r="T11" s="92"/>
      <c r="U11" s="92"/>
      <c r="V11" s="40">
        <f>ROUND(H11*1.0583,2)</f>
        <v>3661.72</v>
      </c>
      <c r="W11" s="40">
        <f>ROUND(I11*1.0327,2)</f>
        <v>4507.93</v>
      </c>
      <c r="X11" s="43">
        <f t="shared" si="2"/>
        <v>38.2800000000002</v>
      </c>
      <c r="Y11" s="43">
        <f t="shared" si="2"/>
        <v>292.06999999999971</v>
      </c>
      <c r="Z11" s="43">
        <v>3661.72</v>
      </c>
      <c r="AA11" s="43"/>
      <c r="AB11" s="43">
        <f t="shared" si="3"/>
        <v>3661.72</v>
      </c>
      <c r="AC11" s="43">
        <f t="shared" si="4"/>
        <v>0</v>
      </c>
      <c r="AD11" s="43">
        <f>IF(X11&gt;0,V11,R11)</f>
        <v>3661.72</v>
      </c>
      <c r="AE11" s="43">
        <f>IF(Y11&gt;0,W11,S11)</f>
        <v>4507.93</v>
      </c>
      <c r="AF11" s="43">
        <f t="shared" si="5"/>
        <v>4330.5600000000004</v>
      </c>
      <c r="AG11" s="43">
        <f t="shared" si="6"/>
        <v>915</v>
      </c>
      <c r="AH11" s="43">
        <f t="shared" si="6"/>
        <v>1127</v>
      </c>
      <c r="AI11" s="93">
        <f t="shared" si="7"/>
        <v>305</v>
      </c>
      <c r="AJ11" s="43">
        <f t="shared" si="7"/>
        <v>376</v>
      </c>
      <c r="AK11" s="43"/>
      <c r="AL11" s="43"/>
      <c r="AM11" s="43">
        <f t="shared" si="8"/>
        <v>915.43</v>
      </c>
      <c r="AN11" s="43">
        <f t="shared" si="9"/>
        <v>1097.68</v>
      </c>
      <c r="AO11" s="43"/>
      <c r="AP11" s="43"/>
      <c r="AQ11" s="43">
        <f t="shared" si="10"/>
        <v>1830.4299999999998</v>
      </c>
      <c r="AR11" s="43">
        <f t="shared" si="10"/>
        <v>2224.6800000000003</v>
      </c>
      <c r="AS11" s="43"/>
      <c r="AT11" s="43"/>
      <c r="AU11" s="43">
        <f t="shared" si="0"/>
        <v>915.43</v>
      </c>
      <c r="AV11" s="43">
        <f t="shared" si="0"/>
        <v>1126.98</v>
      </c>
      <c r="AW11" s="43"/>
      <c r="AX11" s="43">
        <v>170</v>
      </c>
      <c r="AY11" s="43">
        <f t="shared" si="11"/>
        <v>3050.8599999999997</v>
      </c>
      <c r="AZ11" s="43">
        <f t="shared" si="11"/>
        <v>3897.6600000000003</v>
      </c>
      <c r="BA11" s="43">
        <f t="shared" si="12"/>
        <v>6948.52</v>
      </c>
      <c r="BB11" s="60">
        <v>2999.56</v>
      </c>
      <c r="BC11" s="60">
        <v>3896.74</v>
      </c>
      <c r="BD11" s="60">
        <f t="shared" si="13"/>
        <v>51.299999999999727</v>
      </c>
      <c r="BE11" s="60">
        <f t="shared" si="13"/>
        <v>0.92000000000052751</v>
      </c>
      <c r="BF11" s="60">
        <f t="shared" si="14"/>
        <v>599.91</v>
      </c>
      <c r="BG11" s="60">
        <f t="shared" si="14"/>
        <v>779.35</v>
      </c>
      <c r="BH11" s="43">
        <v>274.31</v>
      </c>
      <c r="BI11" s="43">
        <v>226.17</v>
      </c>
      <c r="BJ11" s="43"/>
      <c r="BK11" s="43"/>
      <c r="BL11" s="43">
        <f t="shared" si="1"/>
        <v>3325.1699999999996</v>
      </c>
      <c r="BM11" s="43">
        <f t="shared" si="1"/>
        <v>4123.83</v>
      </c>
      <c r="BN11" s="43">
        <f t="shared" si="15"/>
        <v>7449</v>
      </c>
      <c r="BO11" s="43">
        <v>3313.13</v>
      </c>
      <c r="BP11" s="93">
        <v>4266.17</v>
      </c>
      <c r="BQ11" s="43">
        <f t="shared" si="16"/>
        <v>12.039999999999509</v>
      </c>
      <c r="BR11" s="43">
        <f t="shared" si="16"/>
        <v>-142.34000000000015</v>
      </c>
      <c r="BS11" s="43">
        <f t="shared" si="17"/>
        <v>301.19</v>
      </c>
      <c r="BT11" s="43">
        <f t="shared" si="17"/>
        <v>387.83</v>
      </c>
      <c r="BU11" s="43">
        <f>BS11-BQ11+20</f>
        <v>309.15000000000049</v>
      </c>
      <c r="BV11" s="43">
        <f t="shared" si="18"/>
        <v>530.16999999999996</v>
      </c>
      <c r="BW11" s="43">
        <f>10.68+60</f>
        <v>70.680000000000007</v>
      </c>
      <c r="BX11" s="43">
        <v>63.89</v>
      </c>
      <c r="BY11" s="43"/>
      <c r="BZ11" s="43"/>
      <c r="CA11" s="43">
        <v>3705</v>
      </c>
      <c r="CB11" s="43">
        <v>4717.8900000000003</v>
      </c>
      <c r="CC11" s="92">
        <v>4075.5</v>
      </c>
      <c r="CD11" s="92">
        <v>5425.57</v>
      </c>
      <c r="CE11" s="92">
        <v>340</v>
      </c>
      <c r="CF11" s="92">
        <v>452</v>
      </c>
      <c r="CG11" s="92">
        <f t="shared" si="19"/>
        <v>926.25</v>
      </c>
      <c r="CH11" s="92">
        <f t="shared" si="19"/>
        <v>1179.47</v>
      </c>
      <c r="CI11" s="43"/>
      <c r="CJ11" s="43"/>
      <c r="CK11" s="72">
        <f>1050-25</f>
        <v>1025</v>
      </c>
      <c r="CL11" s="72">
        <f>1550-250</f>
        <v>1300</v>
      </c>
      <c r="CM11" s="72"/>
      <c r="CN11" s="72"/>
      <c r="CO11" s="43">
        <v>4000</v>
      </c>
      <c r="CP11" s="43">
        <v>4600</v>
      </c>
      <c r="CQ11" s="43">
        <f t="shared" si="20"/>
        <v>4100</v>
      </c>
      <c r="CR11" s="43">
        <f t="shared" si="20"/>
        <v>5200</v>
      </c>
      <c r="CS11" s="43">
        <f t="shared" si="21"/>
        <v>4000</v>
      </c>
      <c r="CT11" s="43">
        <f t="shared" si="21"/>
        <v>4600</v>
      </c>
      <c r="CU11" s="43">
        <v>4000</v>
      </c>
      <c r="CV11" s="43">
        <v>4600</v>
      </c>
      <c r="CW11" s="43">
        <f t="shared" si="22"/>
        <v>1000</v>
      </c>
      <c r="CX11" s="43">
        <f t="shared" si="22"/>
        <v>1150</v>
      </c>
      <c r="CY11" s="43"/>
      <c r="CZ11" s="43">
        <v>350</v>
      </c>
      <c r="DA11" s="43">
        <f t="shared" si="23"/>
        <v>2365</v>
      </c>
      <c r="DB11" s="43">
        <f t="shared" si="23"/>
        <v>3252</v>
      </c>
      <c r="DC11" s="43">
        <v>2273.4</v>
      </c>
      <c r="DD11" s="43">
        <v>3216.06</v>
      </c>
      <c r="DE11" s="43">
        <f t="shared" si="24"/>
        <v>91.599999999999909</v>
      </c>
      <c r="DF11" s="43">
        <f t="shared" si="24"/>
        <v>35.940000000000055</v>
      </c>
      <c r="DG11" s="43">
        <f>ROUND(0.25*(MIN(CU11,EW11)),2)</f>
        <v>1000</v>
      </c>
      <c r="DH11" s="43">
        <f>ROUND(0.25*(MIN(CV11,EX11)),2)</f>
        <v>1150</v>
      </c>
      <c r="DI11" s="43">
        <f>+DG11-DE11+191.6</f>
        <v>1100</v>
      </c>
      <c r="DJ11" s="43">
        <f>+DH11-DF11+133.94</f>
        <v>1248</v>
      </c>
      <c r="DK11" s="43">
        <v>63</v>
      </c>
      <c r="DL11" s="43">
        <v>100</v>
      </c>
      <c r="DM11" s="43">
        <f t="shared" si="25"/>
        <v>3528</v>
      </c>
      <c r="DN11" s="43">
        <f t="shared" si="25"/>
        <v>4600</v>
      </c>
      <c r="DO11" s="94">
        <v>3353.55</v>
      </c>
      <c r="DP11" s="95">
        <v>4570.43</v>
      </c>
      <c r="DQ11" s="60">
        <f t="shared" si="26"/>
        <v>174.45</v>
      </c>
      <c r="DR11" s="60">
        <f t="shared" si="26"/>
        <v>29.57</v>
      </c>
      <c r="DS11" s="60">
        <f t="shared" si="27"/>
        <v>335.35500000000002</v>
      </c>
      <c r="DT11" s="60">
        <f t="shared" si="27"/>
        <v>457.04300000000001</v>
      </c>
      <c r="DU11" s="60">
        <f t="shared" si="28"/>
        <v>160.90500000000003</v>
      </c>
      <c r="DV11" s="60">
        <f t="shared" si="28"/>
        <v>427.47300000000001</v>
      </c>
      <c r="DW11" s="60">
        <v>454.75</v>
      </c>
      <c r="DX11" s="60">
        <v>479</v>
      </c>
      <c r="DY11" s="60">
        <v>160.91</v>
      </c>
      <c r="DZ11" s="60">
        <v>650</v>
      </c>
      <c r="EA11" s="60"/>
      <c r="EB11" s="60"/>
      <c r="EC11" s="43">
        <f t="shared" si="30"/>
        <v>3688.91</v>
      </c>
      <c r="ED11" s="43">
        <f t="shared" si="30"/>
        <v>5250</v>
      </c>
      <c r="EE11" s="43">
        <v>3652.82</v>
      </c>
      <c r="EF11" s="43">
        <v>5058.67</v>
      </c>
      <c r="EG11" s="43">
        <f t="shared" si="31"/>
        <v>99.02</v>
      </c>
      <c r="EH11" s="43">
        <f t="shared" si="31"/>
        <v>96.36</v>
      </c>
      <c r="EI11" s="43">
        <f t="shared" si="32"/>
        <v>36.090000000000003</v>
      </c>
      <c r="EJ11" s="43">
        <f t="shared" si="32"/>
        <v>191.33</v>
      </c>
      <c r="EK11" s="43">
        <f t="shared" si="33"/>
        <v>332.07</v>
      </c>
      <c r="EL11" s="43">
        <f t="shared" si="33"/>
        <v>459.88</v>
      </c>
      <c r="EM11" s="43">
        <f t="shared" si="34"/>
        <v>295.98</v>
      </c>
      <c r="EN11" s="43">
        <f t="shared" si="34"/>
        <v>268.54999999999995</v>
      </c>
      <c r="EO11" s="43">
        <v>300</v>
      </c>
      <c r="EP11" s="43">
        <v>350</v>
      </c>
      <c r="EQ11" s="5"/>
      <c r="ER11" s="5"/>
      <c r="ES11" s="5"/>
      <c r="ET11" s="5"/>
      <c r="EU11" s="5">
        <f t="shared" si="46"/>
        <v>511.5898500000003</v>
      </c>
      <c r="EV11" s="5">
        <f t="shared" si="46"/>
        <v>50</v>
      </c>
      <c r="EW11" s="49">
        <v>4500.4998500000002</v>
      </c>
      <c r="EX11" s="49">
        <v>5650</v>
      </c>
      <c r="EY11" s="5">
        <v>5501.5</v>
      </c>
      <c r="EZ11" s="5">
        <v>6900</v>
      </c>
    </row>
    <row r="12" spans="1:158" ht="37.5" x14ac:dyDescent="0.25">
      <c r="A12" s="37">
        <v>6</v>
      </c>
      <c r="B12" s="37"/>
      <c r="C12" s="91" t="s">
        <v>112</v>
      </c>
      <c r="D12" s="38" t="s">
        <v>114</v>
      </c>
      <c r="E12" s="39"/>
      <c r="F12" s="40">
        <v>0</v>
      </c>
      <c r="G12" s="40">
        <v>0</v>
      </c>
      <c r="H12" s="40">
        <v>0</v>
      </c>
      <c r="I12" s="40">
        <v>0</v>
      </c>
      <c r="J12" s="41">
        <v>0</v>
      </c>
      <c r="K12" s="41">
        <v>0</v>
      </c>
      <c r="L12" s="41">
        <v>0</v>
      </c>
      <c r="M12" s="41">
        <f>J12+K12+L12</f>
        <v>0</v>
      </c>
      <c r="N12" s="41">
        <v>0</v>
      </c>
      <c r="O12" s="41">
        <v>0</v>
      </c>
      <c r="P12" s="41">
        <v>0</v>
      </c>
      <c r="Q12" s="41">
        <f>N12+O12+P12</f>
        <v>0</v>
      </c>
      <c r="R12" s="41">
        <f>Q12+M12</f>
        <v>0</v>
      </c>
      <c r="S12" s="41">
        <v>0</v>
      </c>
      <c r="T12" s="92"/>
      <c r="U12" s="92"/>
      <c r="V12" s="40">
        <f>ROUND(H12*1.0583,2)</f>
        <v>0</v>
      </c>
      <c r="W12" s="40">
        <f>ROUND(I12*1.0327,2)</f>
        <v>0</v>
      </c>
      <c r="X12" s="43">
        <f t="shared" si="2"/>
        <v>0</v>
      </c>
      <c r="Y12" s="43">
        <f t="shared" si="2"/>
        <v>0</v>
      </c>
      <c r="Z12" s="43">
        <v>0</v>
      </c>
      <c r="AA12" s="43"/>
      <c r="AB12" s="43">
        <f t="shared" si="3"/>
        <v>0</v>
      </c>
      <c r="AC12" s="43">
        <f t="shared" si="4"/>
        <v>0</v>
      </c>
      <c r="AD12" s="43">
        <f>IF(X12&gt;0,V12,R12)</f>
        <v>0</v>
      </c>
      <c r="AE12" s="43">
        <f>IF(Y12&gt;0,W12,S12)</f>
        <v>0</v>
      </c>
      <c r="AF12" s="43">
        <f t="shared" si="5"/>
        <v>0</v>
      </c>
      <c r="AG12" s="43">
        <f t="shared" si="6"/>
        <v>0</v>
      </c>
      <c r="AH12" s="43">
        <f t="shared" si="6"/>
        <v>0</v>
      </c>
      <c r="AI12" s="93">
        <f t="shared" si="7"/>
        <v>0</v>
      </c>
      <c r="AJ12" s="43">
        <f t="shared" si="7"/>
        <v>0</v>
      </c>
      <c r="AK12" s="43"/>
      <c r="AL12" s="43"/>
      <c r="AM12" s="43">
        <f t="shared" si="8"/>
        <v>0</v>
      </c>
      <c r="AN12" s="43">
        <f t="shared" si="9"/>
        <v>0</v>
      </c>
      <c r="AO12" s="43"/>
      <c r="AP12" s="43"/>
      <c r="AQ12" s="43">
        <f t="shared" si="10"/>
        <v>0</v>
      </c>
      <c r="AR12" s="43">
        <f t="shared" si="10"/>
        <v>0</v>
      </c>
      <c r="AS12" s="43"/>
      <c r="AT12" s="43"/>
      <c r="AU12" s="43">
        <f t="shared" si="0"/>
        <v>0</v>
      </c>
      <c r="AV12" s="43">
        <f t="shared" si="0"/>
        <v>0</v>
      </c>
      <c r="AW12" s="43"/>
      <c r="AX12" s="43"/>
      <c r="AY12" s="43">
        <f t="shared" si="11"/>
        <v>0</v>
      </c>
      <c r="AZ12" s="43">
        <f t="shared" si="11"/>
        <v>0</v>
      </c>
      <c r="BA12" s="43">
        <f t="shared" si="12"/>
        <v>0</v>
      </c>
      <c r="BB12" s="60">
        <v>0</v>
      </c>
      <c r="BC12" s="60"/>
      <c r="BD12" s="60">
        <f t="shared" si="13"/>
        <v>0</v>
      </c>
      <c r="BE12" s="60">
        <f t="shared" si="13"/>
        <v>0</v>
      </c>
      <c r="BF12" s="60">
        <f t="shared" si="14"/>
        <v>0</v>
      </c>
      <c r="BG12" s="60">
        <f t="shared" si="14"/>
        <v>0</v>
      </c>
      <c r="BH12" s="43">
        <v>0</v>
      </c>
      <c r="BI12" s="43">
        <v>0</v>
      </c>
      <c r="BJ12" s="43"/>
      <c r="BK12" s="43"/>
      <c r="BL12" s="43">
        <f t="shared" si="1"/>
        <v>0</v>
      </c>
      <c r="BM12" s="43">
        <f t="shared" si="1"/>
        <v>0</v>
      </c>
      <c r="BN12" s="43">
        <f t="shared" si="15"/>
        <v>0</v>
      </c>
      <c r="BO12" s="43"/>
      <c r="BP12" s="93"/>
      <c r="BQ12" s="43">
        <f t="shared" si="16"/>
        <v>0</v>
      </c>
      <c r="BR12" s="43">
        <f t="shared" si="16"/>
        <v>0</v>
      </c>
      <c r="BS12" s="43">
        <f t="shared" si="17"/>
        <v>0</v>
      </c>
      <c r="BT12" s="43">
        <f t="shared" si="17"/>
        <v>0</v>
      </c>
      <c r="BU12" s="43">
        <f t="shared" si="40"/>
        <v>0</v>
      </c>
      <c r="BV12" s="43">
        <f t="shared" si="18"/>
        <v>0</v>
      </c>
      <c r="BW12" s="43"/>
      <c r="BX12" s="43"/>
      <c r="BY12" s="43"/>
      <c r="BZ12" s="43"/>
      <c r="CA12" s="43">
        <v>0</v>
      </c>
      <c r="CB12" s="43">
        <v>0</v>
      </c>
      <c r="CC12" s="92">
        <v>0</v>
      </c>
      <c r="CD12" s="92">
        <v>0</v>
      </c>
      <c r="CE12" s="92">
        <v>0</v>
      </c>
      <c r="CF12" s="92">
        <v>0</v>
      </c>
      <c r="CG12" s="92">
        <f t="shared" si="19"/>
        <v>0</v>
      </c>
      <c r="CH12" s="92">
        <f t="shared" si="19"/>
        <v>0</v>
      </c>
      <c r="CI12" s="43"/>
      <c r="CJ12" s="43"/>
      <c r="CK12" s="43">
        <v>0</v>
      </c>
      <c r="CL12" s="43">
        <v>0</v>
      </c>
      <c r="CM12" s="43"/>
      <c r="CN12" s="43"/>
      <c r="CO12" s="43">
        <v>0</v>
      </c>
      <c r="CP12" s="43">
        <v>0</v>
      </c>
      <c r="CQ12" s="43">
        <f t="shared" si="20"/>
        <v>0</v>
      </c>
      <c r="CR12" s="43">
        <f t="shared" si="20"/>
        <v>0</v>
      </c>
      <c r="CS12" s="43">
        <f t="shared" si="21"/>
        <v>0</v>
      </c>
      <c r="CT12" s="43">
        <f t="shared" si="21"/>
        <v>0</v>
      </c>
      <c r="CU12" s="43">
        <v>0</v>
      </c>
      <c r="CV12" s="43">
        <v>0</v>
      </c>
      <c r="CW12" s="43">
        <f t="shared" si="22"/>
        <v>0</v>
      </c>
      <c r="CX12" s="43">
        <f t="shared" si="22"/>
        <v>0</v>
      </c>
      <c r="CY12" s="43"/>
      <c r="CZ12" s="43"/>
      <c r="DA12" s="43">
        <f t="shared" si="23"/>
        <v>0</v>
      </c>
      <c r="DB12" s="43">
        <f t="shared" si="23"/>
        <v>0</v>
      </c>
      <c r="DC12" s="43">
        <v>0</v>
      </c>
      <c r="DD12" s="43">
        <v>0</v>
      </c>
      <c r="DE12" s="43">
        <f t="shared" si="24"/>
        <v>0</v>
      </c>
      <c r="DF12" s="43">
        <f t="shared" si="24"/>
        <v>0</v>
      </c>
      <c r="DG12" s="43">
        <f>ROUND(0.25*(MIN(CU12,EW12)),2)</f>
        <v>0</v>
      </c>
      <c r="DH12" s="43">
        <f>ROUND(0.25*(MIN(CV12,EX12)),2)</f>
        <v>0</v>
      </c>
      <c r="DI12" s="43">
        <f>+DG12-DE12</f>
        <v>0</v>
      </c>
      <c r="DJ12" s="43">
        <f>+DH12-DF12</f>
        <v>0</v>
      </c>
      <c r="DK12" s="43"/>
      <c r="DL12" s="43"/>
      <c r="DM12" s="43">
        <f t="shared" si="25"/>
        <v>0</v>
      </c>
      <c r="DN12" s="43">
        <f t="shared" si="25"/>
        <v>0</v>
      </c>
      <c r="DO12" s="94">
        <v>0</v>
      </c>
      <c r="DP12" s="95">
        <v>0</v>
      </c>
      <c r="DQ12" s="60">
        <f t="shared" si="26"/>
        <v>0</v>
      </c>
      <c r="DR12" s="60">
        <f t="shared" si="26"/>
        <v>0</v>
      </c>
      <c r="DS12" s="60">
        <f t="shared" si="27"/>
        <v>0</v>
      </c>
      <c r="DT12" s="60">
        <f t="shared" si="27"/>
        <v>0</v>
      </c>
      <c r="DU12" s="60">
        <f t="shared" si="28"/>
        <v>0</v>
      </c>
      <c r="DV12" s="60">
        <f t="shared" si="28"/>
        <v>0</v>
      </c>
      <c r="DW12" s="60"/>
      <c r="DX12" s="60"/>
      <c r="DY12" s="60">
        <f t="shared" si="29"/>
        <v>0</v>
      </c>
      <c r="DZ12" s="60">
        <f t="shared" si="29"/>
        <v>0</v>
      </c>
      <c r="EA12" s="60"/>
      <c r="EB12" s="60"/>
      <c r="EC12" s="43">
        <f t="shared" si="30"/>
        <v>0</v>
      </c>
      <c r="ED12" s="43">
        <f t="shared" si="30"/>
        <v>0</v>
      </c>
      <c r="EE12" s="43">
        <v>0</v>
      </c>
      <c r="EF12" s="43">
        <v>0</v>
      </c>
      <c r="EG12" s="43" t="e">
        <f t="shared" si="31"/>
        <v>#DIV/0!</v>
      </c>
      <c r="EH12" s="43" t="e">
        <f t="shared" si="31"/>
        <v>#DIV/0!</v>
      </c>
      <c r="EI12" s="43">
        <f t="shared" si="32"/>
        <v>0</v>
      </c>
      <c r="EJ12" s="43">
        <f t="shared" si="32"/>
        <v>0</v>
      </c>
      <c r="EK12" s="43">
        <f t="shared" si="33"/>
        <v>0</v>
      </c>
      <c r="EL12" s="43">
        <f t="shared" si="33"/>
        <v>0</v>
      </c>
      <c r="EM12" s="43">
        <f t="shared" si="34"/>
        <v>0</v>
      </c>
      <c r="EN12" s="43">
        <f t="shared" si="34"/>
        <v>0</v>
      </c>
      <c r="EO12" s="43">
        <v>0</v>
      </c>
      <c r="EP12" s="43">
        <v>0</v>
      </c>
      <c r="EQ12" s="5"/>
      <c r="ER12" s="5"/>
      <c r="ES12" s="5"/>
      <c r="ET12" s="5"/>
      <c r="EU12" s="5">
        <f>+EW12-EC12-EO12</f>
        <v>0</v>
      </c>
      <c r="EV12" s="5">
        <f>+EX12-ED12-EP12</f>
        <v>0</v>
      </c>
    </row>
    <row r="13" spans="1:158" s="51" customFormat="1" ht="18.75" x14ac:dyDescent="0.25">
      <c r="A13" s="68"/>
      <c r="B13" s="68" t="s">
        <v>115</v>
      </c>
      <c r="C13" s="91" t="s">
        <v>112</v>
      </c>
      <c r="D13" s="67" t="s">
        <v>113</v>
      </c>
      <c r="E13" s="69" t="s">
        <v>116</v>
      </c>
      <c r="F13" s="40">
        <v>3460</v>
      </c>
      <c r="G13" s="40">
        <v>4335.1900000000005</v>
      </c>
      <c r="H13" s="40">
        <v>3460</v>
      </c>
      <c r="I13" s="40">
        <v>4365.1900000000005</v>
      </c>
      <c r="J13" s="41">
        <f t="shared" ref="J13:AA13" si="47">+J11+J12</f>
        <v>3699.7</v>
      </c>
      <c r="K13" s="41">
        <f t="shared" si="47"/>
        <v>0</v>
      </c>
      <c r="L13" s="41">
        <f t="shared" si="47"/>
        <v>0.3</v>
      </c>
      <c r="M13" s="41">
        <f t="shared" si="47"/>
        <v>3700</v>
      </c>
      <c r="N13" s="41">
        <f t="shared" si="47"/>
        <v>0</v>
      </c>
      <c r="O13" s="41">
        <f t="shared" si="47"/>
        <v>0</v>
      </c>
      <c r="P13" s="41">
        <f t="shared" si="47"/>
        <v>0</v>
      </c>
      <c r="Q13" s="41">
        <f t="shared" si="47"/>
        <v>0</v>
      </c>
      <c r="R13" s="41">
        <f t="shared" si="47"/>
        <v>3700</v>
      </c>
      <c r="S13" s="41">
        <f t="shared" si="47"/>
        <v>4800</v>
      </c>
      <c r="T13" s="41">
        <f t="shared" si="47"/>
        <v>0</v>
      </c>
      <c r="U13" s="41">
        <f t="shared" si="47"/>
        <v>0</v>
      </c>
      <c r="V13" s="41">
        <f t="shared" si="47"/>
        <v>3661.72</v>
      </c>
      <c r="W13" s="41">
        <f t="shared" si="47"/>
        <v>4507.93</v>
      </c>
      <c r="X13" s="41">
        <f t="shared" si="47"/>
        <v>38.2800000000002</v>
      </c>
      <c r="Y13" s="41">
        <f t="shared" si="47"/>
        <v>292.06999999999971</v>
      </c>
      <c r="Z13" s="41">
        <f t="shared" si="47"/>
        <v>3661.72</v>
      </c>
      <c r="AA13" s="41">
        <f t="shared" si="47"/>
        <v>0</v>
      </c>
      <c r="AB13" s="40">
        <f t="shared" si="3"/>
        <v>3661.72</v>
      </c>
      <c r="AC13" s="43">
        <f t="shared" si="4"/>
        <v>0</v>
      </c>
      <c r="AD13" s="40">
        <f t="shared" ref="AD13:CP13" si="48">+AD11+AD12</f>
        <v>3661.72</v>
      </c>
      <c r="AE13" s="40">
        <f t="shared" si="48"/>
        <v>4507.93</v>
      </c>
      <c r="AF13" s="40">
        <f t="shared" si="48"/>
        <v>4330.5600000000004</v>
      </c>
      <c r="AG13" s="40">
        <f t="shared" si="48"/>
        <v>915</v>
      </c>
      <c r="AH13" s="40">
        <f t="shared" si="48"/>
        <v>1127</v>
      </c>
      <c r="AI13" s="102">
        <f t="shared" si="48"/>
        <v>305</v>
      </c>
      <c r="AJ13" s="40">
        <f t="shared" si="48"/>
        <v>376</v>
      </c>
      <c r="AK13" s="40">
        <f t="shared" si="48"/>
        <v>0</v>
      </c>
      <c r="AL13" s="40">
        <f t="shared" si="48"/>
        <v>0</v>
      </c>
      <c r="AM13" s="40">
        <f t="shared" si="48"/>
        <v>915.43</v>
      </c>
      <c r="AN13" s="40">
        <f t="shared" si="48"/>
        <v>1097.68</v>
      </c>
      <c r="AO13" s="40">
        <f t="shared" si="48"/>
        <v>0</v>
      </c>
      <c r="AP13" s="40">
        <f t="shared" si="48"/>
        <v>0</v>
      </c>
      <c r="AQ13" s="40">
        <f t="shared" si="48"/>
        <v>1830.4299999999998</v>
      </c>
      <c r="AR13" s="40">
        <f t="shared" si="48"/>
        <v>2224.6800000000003</v>
      </c>
      <c r="AS13" s="40">
        <f t="shared" si="48"/>
        <v>0</v>
      </c>
      <c r="AT13" s="40">
        <f t="shared" si="48"/>
        <v>0</v>
      </c>
      <c r="AU13" s="40">
        <f t="shared" si="48"/>
        <v>915.43</v>
      </c>
      <c r="AV13" s="40">
        <f t="shared" si="48"/>
        <v>1126.98</v>
      </c>
      <c r="AW13" s="40">
        <f t="shared" si="48"/>
        <v>0</v>
      </c>
      <c r="AX13" s="40">
        <f t="shared" si="48"/>
        <v>170</v>
      </c>
      <c r="AY13" s="40">
        <f t="shared" si="48"/>
        <v>3050.8599999999997</v>
      </c>
      <c r="AZ13" s="40">
        <f t="shared" si="48"/>
        <v>3897.6600000000003</v>
      </c>
      <c r="BA13" s="40">
        <f t="shared" si="48"/>
        <v>6948.52</v>
      </c>
      <c r="BB13" s="40">
        <f t="shared" si="48"/>
        <v>2999.56</v>
      </c>
      <c r="BC13" s="40">
        <f t="shared" si="48"/>
        <v>3896.74</v>
      </c>
      <c r="BD13" s="40">
        <f t="shared" si="48"/>
        <v>51.299999999999727</v>
      </c>
      <c r="BE13" s="40">
        <f t="shared" si="48"/>
        <v>0.92000000000052751</v>
      </c>
      <c r="BF13" s="40">
        <f t="shared" si="48"/>
        <v>599.91</v>
      </c>
      <c r="BG13" s="102">
        <f t="shared" si="48"/>
        <v>779.35</v>
      </c>
      <c r="BH13" s="102">
        <f t="shared" si="48"/>
        <v>274.31</v>
      </c>
      <c r="BI13" s="102">
        <f t="shared" si="48"/>
        <v>226.17</v>
      </c>
      <c r="BJ13" s="102">
        <f t="shared" si="48"/>
        <v>0</v>
      </c>
      <c r="BK13" s="102">
        <f t="shared" si="48"/>
        <v>0</v>
      </c>
      <c r="BL13" s="102">
        <f t="shared" si="48"/>
        <v>3325.1699999999996</v>
      </c>
      <c r="BM13" s="102">
        <f t="shared" si="48"/>
        <v>4123.83</v>
      </c>
      <c r="BN13" s="102">
        <f t="shared" si="48"/>
        <v>7449</v>
      </c>
      <c r="BO13" s="102">
        <f t="shared" si="48"/>
        <v>3313.13</v>
      </c>
      <c r="BP13" s="102">
        <f t="shared" si="48"/>
        <v>4266.17</v>
      </c>
      <c r="BQ13" s="40">
        <f t="shared" si="48"/>
        <v>12.039999999999509</v>
      </c>
      <c r="BR13" s="40">
        <f t="shared" si="48"/>
        <v>-142.34000000000015</v>
      </c>
      <c r="BS13" s="40">
        <f t="shared" si="48"/>
        <v>301.19</v>
      </c>
      <c r="BT13" s="40">
        <f t="shared" si="48"/>
        <v>387.83</v>
      </c>
      <c r="BU13" s="40">
        <f t="shared" si="48"/>
        <v>309.15000000000049</v>
      </c>
      <c r="BV13" s="40">
        <f t="shared" si="48"/>
        <v>530.16999999999996</v>
      </c>
      <c r="BW13" s="40">
        <f t="shared" si="48"/>
        <v>70.680000000000007</v>
      </c>
      <c r="BX13" s="40">
        <f t="shared" si="48"/>
        <v>63.89</v>
      </c>
      <c r="BY13" s="40">
        <f t="shared" si="48"/>
        <v>0</v>
      </c>
      <c r="BZ13" s="40">
        <f t="shared" si="48"/>
        <v>0</v>
      </c>
      <c r="CA13" s="40">
        <f t="shared" si="48"/>
        <v>3705</v>
      </c>
      <c r="CB13" s="40">
        <f t="shared" si="48"/>
        <v>4717.8900000000003</v>
      </c>
      <c r="CC13" s="40">
        <f t="shared" si="48"/>
        <v>4075.5</v>
      </c>
      <c r="CD13" s="40">
        <f t="shared" si="48"/>
        <v>5425.57</v>
      </c>
      <c r="CE13" s="40">
        <f t="shared" si="48"/>
        <v>340</v>
      </c>
      <c r="CF13" s="40">
        <f t="shared" si="48"/>
        <v>452</v>
      </c>
      <c r="CG13" s="40">
        <f t="shared" si="48"/>
        <v>926.25</v>
      </c>
      <c r="CH13" s="102">
        <f t="shared" si="48"/>
        <v>1179.47</v>
      </c>
      <c r="CI13" s="40">
        <f t="shared" si="48"/>
        <v>0</v>
      </c>
      <c r="CJ13" s="40">
        <f t="shared" si="48"/>
        <v>0</v>
      </c>
      <c r="CK13" s="40">
        <f t="shared" si="48"/>
        <v>1025</v>
      </c>
      <c r="CL13" s="40">
        <f t="shared" si="48"/>
        <v>1300</v>
      </c>
      <c r="CM13" s="40">
        <f t="shared" si="48"/>
        <v>0</v>
      </c>
      <c r="CN13" s="40">
        <f t="shared" si="48"/>
        <v>0</v>
      </c>
      <c r="CO13" s="40">
        <f t="shared" si="48"/>
        <v>4000</v>
      </c>
      <c r="CP13" s="40">
        <f t="shared" si="48"/>
        <v>4600</v>
      </c>
      <c r="CQ13" s="40">
        <f t="shared" ref="CQ13:EZ13" si="49">+CQ11+CQ12</f>
        <v>4100</v>
      </c>
      <c r="CR13" s="40">
        <f t="shared" si="49"/>
        <v>5200</v>
      </c>
      <c r="CS13" s="40">
        <f t="shared" si="49"/>
        <v>4000</v>
      </c>
      <c r="CT13" s="40">
        <f t="shared" si="49"/>
        <v>4600</v>
      </c>
      <c r="CU13" s="40">
        <f t="shared" si="49"/>
        <v>4000</v>
      </c>
      <c r="CV13" s="40">
        <f t="shared" si="49"/>
        <v>4600</v>
      </c>
      <c r="CW13" s="40">
        <f t="shared" si="49"/>
        <v>1000</v>
      </c>
      <c r="CX13" s="40">
        <f t="shared" si="49"/>
        <v>1150</v>
      </c>
      <c r="CY13" s="40">
        <f t="shared" si="49"/>
        <v>0</v>
      </c>
      <c r="CZ13" s="40">
        <f t="shared" si="49"/>
        <v>350</v>
      </c>
      <c r="DA13" s="40">
        <f t="shared" si="49"/>
        <v>2365</v>
      </c>
      <c r="DB13" s="40">
        <f t="shared" si="49"/>
        <v>3252</v>
      </c>
      <c r="DC13" s="40">
        <f t="shared" si="49"/>
        <v>2273.4</v>
      </c>
      <c r="DD13" s="40">
        <f t="shared" si="49"/>
        <v>3216.06</v>
      </c>
      <c r="DE13" s="40">
        <f t="shared" si="49"/>
        <v>91.599999999999909</v>
      </c>
      <c r="DF13" s="40">
        <f t="shared" si="49"/>
        <v>35.940000000000055</v>
      </c>
      <c r="DG13" s="40">
        <f t="shared" si="49"/>
        <v>1000</v>
      </c>
      <c r="DH13" s="40">
        <f t="shared" si="49"/>
        <v>1150</v>
      </c>
      <c r="DI13" s="40">
        <f t="shared" si="49"/>
        <v>1100</v>
      </c>
      <c r="DJ13" s="40">
        <f t="shared" si="49"/>
        <v>1248</v>
      </c>
      <c r="DK13" s="40">
        <f t="shared" si="49"/>
        <v>63</v>
      </c>
      <c r="DL13" s="40">
        <f t="shared" si="49"/>
        <v>100</v>
      </c>
      <c r="DM13" s="40">
        <f t="shared" si="49"/>
        <v>3528</v>
      </c>
      <c r="DN13" s="40">
        <f t="shared" si="49"/>
        <v>4600</v>
      </c>
      <c r="DO13" s="97">
        <f t="shared" ref="DO13:ET13" si="50">DO11+DO12</f>
        <v>3353.55</v>
      </c>
      <c r="DP13" s="98">
        <f t="shared" si="50"/>
        <v>4570.43</v>
      </c>
      <c r="DQ13" s="98">
        <f t="shared" si="50"/>
        <v>174.45</v>
      </c>
      <c r="DR13" s="98">
        <f t="shared" si="50"/>
        <v>29.57</v>
      </c>
      <c r="DS13" s="98">
        <f t="shared" si="50"/>
        <v>335.35500000000002</v>
      </c>
      <c r="DT13" s="98">
        <f t="shared" si="50"/>
        <v>457.04300000000001</v>
      </c>
      <c r="DU13" s="98">
        <f t="shared" si="50"/>
        <v>160.90500000000003</v>
      </c>
      <c r="DV13" s="98">
        <f t="shared" si="50"/>
        <v>427.47300000000001</v>
      </c>
      <c r="DW13" s="98">
        <f t="shared" si="50"/>
        <v>454.75</v>
      </c>
      <c r="DX13" s="98">
        <f t="shared" si="50"/>
        <v>479</v>
      </c>
      <c r="DY13" s="98">
        <f t="shared" si="50"/>
        <v>160.91</v>
      </c>
      <c r="DZ13" s="98">
        <f t="shared" si="50"/>
        <v>650</v>
      </c>
      <c r="EA13" s="98">
        <f t="shared" si="50"/>
        <v>0</v>
      </c>
      <c r="EB13" s="134">
        <f t="shared" si="50"/>
        <v>0</v>
      </c>
      <c r="EC13" s="140">
        <f t="shared" si="50"/>
        <v>3688.91</v>
      </c>
      <c r="ED13" s="140">
        <f t="shared" si="50"/>
        <v>5250</v>
      </c>
      <c r="EE13" s="140">
        <f t="shared" si="50"/>
        <v>3652.82</v>
      </c>
      <c r="EF13" s="140">
        <f t="shared" si="50"/>
        <v>5058.67</v>
      </c>
      <c r="EG13" s="140" t="e">
        <f t="shared" si="50"/>
        <v>#DIV/0!</v>
      </c>
      <c r="EH13" s="140" t="e">
        <f t="shared" si="50"/>
        <v>#DIV/0!</v>
      </c>
      <c r="EI13" s="140">
        <f t="shared" si="50"/>
        <v>36.090000000000003</v>
      </c>
      <c r="EJ13" s="140">
        <f t="shared" si="50"/>
        <v>191.33</v>
      </c>
      <c r="EK13" s="140">
        <f t="shared" si="50"/>
        <v>332.07</v>
      </c>
      <c r="EL13" s="140">
        <f t="shared" si="50"/>
        <v>459.88</v>
      </c>
      <c r="EM13" s="140">
        <f t="shared" si="50"/>
        <v>295.98</v>
      </c>
      <c r="EN13" s="140">
        <f t="shared" si="50"/>
        <v>268.54999999999995</v>
      </c>
      <c r="EO13" s="140">
        <f t="shared" si="50"/>
        <v>300</v>
      </c>
      <c r="EP13" s="140">
        <f t="shared" si="50"/>
        <v>350</v>
      </c>
      <c r="EQ13" s="136"/>
      <c r="ER13" s="47"/>
      <c r="ES13" s="47">
        <f t="shared" si="50"/>
        <v>0</v>
      </c>
      <c r="ET13" s="47">
        <f t="shared" si="50"/>
        <v>0</v>
      </c>
      <c r="EU13" s="5">
        <f t="shared" ref="EU13:EV15" si="51">+EW13-EC13-EO13</f>
        <v>511.5898500000003</v>
      </c>
      <c r="EV13" s="5">
        <f t="shared" si="51"/>
        <v>50</v>
      </c>
      <c r="EW13" s="50">
        <f t="shared" si="49"/>
        <v>4500.4998500000002</v>
      </c>
      <c r="EX13" s="50">
        <f t="shared" si="49"/>
        <v>5650</v>
      </c>
      <c r="EY13" s="50">
        <f t="shared" si="49"/>
        <v>5501.5</v>
      </c>
      <c r="EZ13" s="50">
        <f t="shared" si="49"/>
        <v>6900</v>
      </c>
    </row>
    <row r="14" spans="1:158" ht="18.75" x14ac:dyDescent="0.25">
      <c r="A14" s="37">
        <v>7</v>
      </c>
      <c r="B14" s="37"/>
      <c r="C14" s="91" t="s">
        <v>117</v>
      </c>
      <c r="D14" s="38" t="s">
        <v>118</v>
      </c>
      <c r="E14" s="39"/>
      <c r="F14" s="40">
        <v>2001.1100000000004</v>
      </c>
      <c r="G14" s="40">
        <v>2564.23</v>
      </c>
      <c r="H14" s="40">
        <v>2001.1100000000004</v>
      </c>
      <c r="I14" s="40">
        <v>2644.23</v>
      </c>
      <c r="J14" s="41">
        <v>2315</v>
      </c>
      <c r="K14" s="41">
        <v>0</v>
      </c>
      <c r="L14" s="41">
        <v>0</v>
      </c>
      <c r="M14" s="41">
        <f>J14+K14+L14</f>
        <v>2315</v>
      </c>
      <c r="N14" s="41">
        <v>0</v>
      </c>
      <c r="O14" s="41">
        <v>0</v>
      </c>
      <c r="P14" s="41">
        <v>0</v>
      </c>
      <c r="Q14" s="41">
        <f>N14+O14+P14</f>
        <v>0</v>
      </c>
      <c r="R14" s="41">
        <f>Q14+M14</f>
        <v>2315</v>
      </c>
      <c r="S14" s="41">
        <v>2742</v>
      </c>
      <c r="T14" s="92"/>
      <c r="U14" s="92"/>
      <c r="V14" s="40">
        <f>ROUND(H14*1.0583,2)</f>
        <v>2117.77</v>
      </c>
      <c r="W14" s="40">
        <f>ROUND(I14*1.0327,2)</f>
        <v>2730.7</v>
      </c>
      <c r="X14" s="43">
        <f t="shared" si="2"/>
        <v>197.23000000000002</v>
      </c>
      <c r="Y14" s="43">
        <f t="shared" si="2"/>
        <v>11.300000000000182</v>
      </c>
      <c r="Z14" s="43">
        <v>2117.77</v>
      </c>
      <c r="AA14" s="43"/>
      <c r="AB14" s="43">
        <f t="shared" si="3"/>
        <v>2117.77</v>
      </c>
      <c r="AC14" s="43">
        <f t="shared" si="4"/>
        <v>0</v>
      </c>
      <c r="AD14" s="43">
        <f>IF(X14&gt;0,V14,R14)</f>
        <v>2117.77</v>
      </c>
      <c r="AE14" s="43">
        <f>IF(Y14&gt;0,W14,S14)</f>
        <v>2730.7</v>
      </c>
      <c r="AF14" s="43">
        <f t="shared" si="5"/>
        <v>2473.83</v>
      </c>
      <c r="AG14" s="43">
        <f t="shared" si="6"/>
        <v>529</v>
      </c>
      <c r="AH14" s="43">
        <f t="shared" si="6"/>
        <v>683</v>
      </c>
      <c r="AI14" s="93">
        <f t="shared" si="7"/>
        <v>176</v>
      </c>
      <c r="AJ14" s="43">
        <f t="shared" si="7"/>
        <v>228</v>
      </c>
      <c r="AK14" s="43"/>
      <c r="AL14" s="43"/>
      <c r="AM14" s="43">
        <f t="shared" si="8"/>
        <v>529.44000000000005</v>
      </c>
      <c r="AN14" s="43">
        <f t="shared" si="9"/>
        <v>664.93</v>
      </c>
      <c r="AO14" s="43"/>
      <c r="AP14" s="43"/>
      <c r="AQ14" s="43">
        <f t="shared" si="10"/>
        <v>1058.44</v>
      </c>
      <c r="AR14" s="43">
        <f t="shared" si="10"/>
        <v>1347.9299999999998</v>
      </c>
      <c r="AS14" s="43"/>
      <c r="AT14" s="43"/>
      <c r="AU14" s="43">
        <f t="shared" si="0"/>
        <v>529.44000000000005</v>
      </c>
      <c r="AV14" s="3">
        <f>ROUND(AE14*25%,2)-100</f>
        <v>582.67999999999995</v>
      </c>
      <c r="AW14" s="72"/>
      <c r="AX14" s="72"/>
      <c r="AY14" s="43">
        <f t="shared" si="11"/>
        <v>1763.88</v>
      </c>
      <c r="AZ14" s="43">
        <f t="shared" si="11"/>
        <v>2158.6099999999997</v>
      </c>
      <c r="BA14" s="43">
        <f t="shared" si="12"/>
        <v>3922.49</v>
      </c>
      <c r="BB14" s="60">
        <v>1595.63</v>
      </c>
      <c r="BC14" s="60">
        <v>2164.38</v>
      </c>
      <c r="BD14" s="60">
        <f t="shared" si="13"/>
        <v>168.25</v>
      </c>
      <c r="BE14" s="60">
        <f t="shared" si="13"/>
        <v>-5.7700000000004366</v>
      </c>
      <c r="BF14" s="60">
        <f t="shared" si="14"/>
        <v>319.13</v>
      </c>
      <c r="BG14" s="60">
        <f t="shared" si="14"/>
        <v>432.88</v>
      </c>
      <c r="BH14" s="43">
        <v>75.44</v>
      </c>
      <c r="BI14" s="43">
        <v>265.33</v>
      </c>
      <c r="BJ14" s="43"/>
      <c r="BK14" s="43"/>
      <c r="BL14" s="43">
        <f t="shared" si="1"/>
        <v>1839.3200000000002</v>
      </c>
      <c r="BM14" s="43">
        <f t="shared" si="1"/>
        <v>2423.9399999999996</v>
      </c>
      <c r="BN14" s="43">
        <f t="shared" si="15"/>
        <v>4263.26</v>
      </c>
      <c r="BO14" s="43">
        <v>1759.33</v>
      </c>
      <c r="BP14" s="93">
        <v>2561.33</v>
      </c>
      <c r="BQ14" s="43">
        <f t="shared" si="16"/>
        <v>79.990000000000236</v>
      </c>
      <c r="BR14" s="43">
        <f t="shared" si="16"/>
        <v>-137.39000000000033</v>
      </c>
      <c r="BS14" s="43">
        <f t="shared" si="17"/>
        <v>159.94</v>
      </c>
      <c r="BT14" s="43">
        <f t="shared" si="17"/>
        <v>232.85</v>
      </c>
      <c r="BU14" s="43">
        <v>102</v>
      </c>
      <c r="BV14" s="43">
        <v>280</v>
      </c>
      <c r="BW14" s="43"/>
      <c r="BX14" s="43"/>
      <c r="BY14" s="43"/>
      <c r="BZ14" s="43"/>
      <c r="CA14" s="43">
        <v>1941.3200000000002</v>
      </c>
      <c r="CB14" s="43">
        <v>2703.9399999999996</v>
      </c>
      <c r="CC14" s="92">
        <v>2135.4499999999998</v>
      </c>
      <c r="CD14" s="92">
        <v>3109.53</v>
      </c>
      <c r="CE14" s="92">
        <v>178</v>
      </c>
      <c r="CF14" s="92">
        <v>259</v>
      </c>
      <c r="CG14" s="92">
        <f t="shared" si="19"/>
        <v>485.33</v>
      </c>
      <c r="CH14" s="92">
        <f t="shared" si="19"/>
        <v>675.99</v>
      </c>
      <c r="CI14" s="43"/>
      <c r="CJ14" s="43"/>
      <c r="CK14" s="43">
        <v>475</v>
      </c>
      <c r="CL14" s="72">
        <f>870-170</f>
        <v>700</v>
      </c>
      <c r="CM14" s="72"/>
      <c r="CN14" s="72"/>
      <c r="CO14" s="43">
        <v>1900</v>
      </c>
      <c r="CP14" s="43">
        <v>2800</v>
      </c>
      <c r="CQ14" s="43">
        <f t="shared" si="20"/>
        <v>1900</v>
      </c>
      <c r="CR14" s="43">
        <f t="shared" si="20"/>
        <v>2800</v>
      </c>
      <c r="CS14" s="43">
        <f t="shared" si="21"/>
        <v>1900</v>
      </c>
      <c r="CT14" s="43">
        <f t="shared" si="21"/>
        <v>2800</v>
      </c>
      <c r="CU14" s="43">
        <v>1900</v>
      </c>
      <c r="CV14" s="43">
        <v>2800</v>
      </c>
      <c r="CW14" s="43">
        <f t="shared" si="22"/>
        <v>475</v>
      </c>
      <c r="CX14" s="43">
        <f t="shared" si="22"/>
        <v>700</v>
      </c>
      <c r="CY14" s="43"/>
      <c r="CZ14" s="43"/>
      <c r="DA14" s="43">
        <f t="shared" si="23"/>
        <v>1128</v>
      </c>
      <c r="DB14" s="43">
        <f t="shared" si="23"/>
        <v>1659</v>
      </c>
      <c r="DC14" s="43">
        <v>1166.74</v>
      </c>
      <c r="DD14" s="43">
        <v>1873.07</v>
      </c>
      <c r="DE14" s="43">
        <f t="shared" si="24"/>
        <v>-38.740000000000009</v>
      </c>
      <c r="DF14" s="43">
        <f t="shared" si="24"/>
        <v>-214.06999999999994</v>
      </c>
      <c r="DG14" s="43">
        <f>ROUND(0.25*(MIN(CU14,EW14)),2)</f>
        <v>475</v>
      </c>
      <c r="DH14" s="43">
        <f>ROUND(0.25*(MIN(CV14,EX14)),2)</f>
        <v>700</v>
      </c>
      <c r="DI14" s="43">
        <f>+DG14-DE14</f>
        <v>513.74</v>
      </c>
      <c r="DJ14" s="43">
        <f>+DH14-DF14</f>
        <v>914.06999999999994</v>
      </c>
      <c r="DK14" s="43"/>
      <c r="DL14" s="43"/>
      <c r="DM14" s="43">
        <f t="shared" si="25"/>
        <v>1641.74</v>
      </c>
      <c r="DN14" s="43">
        <f t="shared" si="25"/>
        <v>2573.0699999999997</v>
      </c>
      <c r="DO14" s="94">
        <v>1661.8</v>
      </c>
      <c r="DP14" s="95">
        <v>2531.4299999999998</v>
      </c>
      <c r="DQ14" s="60">
        <f t="shared" si="26"/>
        <v>-20.059999999999999</v>
      </c>
      <c r="DR14" s="60">
        <f t="shared" si="26"/>
        <v>41.64</v>
      </c>
      <c r="DS14" s="60">
        <f t="shared" si="27"/>
        <v>166.18</v>
      </c>
      <c r="DT14" s="60">
        <f t="shared" si="27"/>
        <v>253.14299999999997</v>
      </c>
      <c r="DU14" s="60">
        <f t="shared" si="28"/>
        <v>186.24</v>
      </c>
      <c r="DV14" s="60">
        <f t="shared" si="28"/>
        <v>211.50299999999999</v>
      </c>
      <c r="DW14" s="60"/>
      <c r="DX14" s="60"/>
      <c r="DY14" s="60">
        <f t="shared" si="29"/>
        <v>186.24</v>
      </c>
      <c r="DZ14" s="60">
        <f t="shared" si="29"/>
        <v>211.5</v>
      </c>
      <c r="EA14" s="60"/>
      <c r="EB14" s="60"/>
      <c r="EC14" s="43">
        <f t="shared" si="30"/>
        <v>1827.98</v>
      </c>
      <c r="ED14" s="43">
        <f t="shared" si="30"/>
        <v>2784.5699999999997</v>
      </c>
      <c r="EE14" s="43">
        <v>1810.9</v>
      </c>
      <c r="EF14" s="43">
        <v>2751.66</v>
      </c>
      <c r="EG14" s="43">
        <f t="shared" si="31"/>
        <v>99.07</v>
      </c>
      <c r="EH14" s="43">
        <f t="shared" si="31"/>
        <v>98.82</v>
      </c>
      <c r="EI14" s="43">
        <f t="shared" si="32"/>
        <v>17.079999999999998</v>
      </c>
      <c r="EJ14" s="43">
        <f t="shared" si="32"/>
        <v>32.909999999999997</v>
      </c>
      <c r="EK14" s="43">
        <f t="shared" si="33"/>
        <v>164.63</v>
      </c>
      <c r="EL14" s="43">
        <f t="shared" si="33"/>
        <v>250.15</v>
      </c>
      <c r="EM14" s="43">
        <f t="shared" si="34"/>
        <v>147.55000000000001</v>
      </c>
      <c r="EN14" s="43">
        <f t="shared" si="34"/>
        <v>217.24</v>
      </c>
      <c r="EO14" s="43">
        <v>172.92</v>
      </c>
      <c r="EP14" s="43">
        <v>327.52999999999997</v>
      </c>
      <c r="EQ14" s="5"/>
      <c r="ER14" s="5"/>
      <c r="ES14" s="5"/>
      <c r="ET14" s="5"/>
      <c r="EU14" s="5">
        <f t="shared" si="51"/>
        <v>49.099999999999994</v>
      </c>
      <c r="EV14" s="5">
        <f t="shared" si="51"/>
        <v>87.900000000000318</v>
      </c>
      <c r="EW14" s="5">
        <v>2050</v>
      </c>
      <c r="EX14" s="5">
        <v>3200</v>
      </c>
      <c r="EY14" s="5">
        <v>2185</v>
      </c>
      <c r="EZ14" s="5">
        <v>3320</v>
      </c>
    </row>
    <row r="15" spans="1:158" ht="18.75" x14ac:dyDescent="0.25">
      <c r="A15" s="37">
        <v>8</v>
      </c>
      <c r="B15" s="37"/>
      <c r="C15" s="91" t="s">
        <v>117</v>
      </c>
      <c r="D15" s="38" t="s">
        <v>119</v>
      </c>
      <c r="E15" s="39"/>
      <c r="F15" s="40">
        <v>170.92000000000002</v>
      </c>
      <c r="G15" s="40">
        <v>0</v>
      </c>
      <c r="H15" s="40">
        <v>170.92000000000002</v>
      </c>
      <c r="I15" s="40">
        <v>0</v>
      </c>
      <c r="J15" s="41">
        <v>278.3</v>
      </c>
      <c r="K15" s="41">
        <v>0</v>
      </c>
      <c r="L15" s="41">
        <v>0</v>
      </c>
      <c r="M15" s="41">
        <f>J15+K15+L15</f>
        <v>278.3</v>
      </c>
      <c r="N15" s="41">
        <v>0</v>
      </c>
      <c r="O15" s="41">
        <v>0</v>
      </c>
      <c r="P15" s="41">
        <v>0</v>
      </c>
      <c r="Q15" s="41">
        <f>N15+O15+P15</f>
        <v>0</v>
      </c>
      <c r="R15" s="41">
        <f>Q15+M15</f>
        <v>278.3</v>
      </c>
      <c r="S15" s="41">
        <v>0</v>
      </c>
      <c r="T15" s="92"/>
      <c r="U15" s="92"/>
      <c r="V15" s="40">
        <f>ROUND(H15*1.0583,2)</f>
        <v>180.88</v>
      </c>
      <c r="W15" s="40">
        <f>ROUND(I15*1.0327,2)</f>
        <v>0</v>
      </c>
      <c r="X15" s="43">
        <f t="shared" si="2"/>
        <v>97.420000000000016</v>
      </c>
      <c r="Y15" s="43">
        <f t="shared" si="2"/>
        <v>0</v>
      </c>
      <c r="Z15" s="43">
        <v>180.88</v>
      </c>
      <c r="AA15" s="43"/>
      <c r="AB15" s="43">
        <f t="shared" si="3"/>
        <v>180.88</v>
      </c>
      <c r="AC15" s="43">
        <f t="shared" si="4"/>
        <v>0</v>
      </c>
      <c r="AD15" s="43">
        <f>IF(X15&gt;0,V15,R15)</f>
        <v>180.88</v>
      </c>
      <c r="AE15" s="43">
        <f>IF(Y15&gt;0,W15,S15)</f>
        <v>0</v>
      </c>
      <c r="AF15" s="43">
        <f t="shared" si="5"/>
        <v>0</v>
      </c>
      <c r="AG15" s="43">
        <f t="shared" si="6"/>
        <v>45</v>
      </c>
      <c r="AH15" s="43">
        <f t="shared" si="6"/>
        <v>0</v>
      </c>
      <c r="AI15" s="93">
        <f t="shared" si="7"/>
        <v>15</v>
      </c>
      <c r="AJ15" s="43">
        <f t="shared" si="7"/>
        <v>0</v>
      </c>
      <c r="AK15" s="43"/>
      <c r="AL15" s="43"/>
      <c r="AM15" s="43">
        <f t="shared" si="8"/>
        <v>45.22</v>
      </c>
      <c r="AN15" s="43">
        <f t="shared" si="9"/>
        <v>0</v>
      </c>
      <c r="AO15" s="43"/>
      <c r="AP15" s="43"/>
      <c r="AQ15" s="43">
        <f t="shared" si="10"/>
        <v>90.22</v>
      </c>
      <c r="AR15" s="43">
        <f t="shared" si="10"/>
        <v>0</v>
      </c>
      <c r="AS15" s="43"/>
      <c r="AT15" s="43"/>
      <c r="AU15" s="43">
        <f t="shared" si="0"/>
        <v>45.22</v>
      </c>
      <c r="AV15" s="43">
        <f t="shared" si="0"/>
        <v>0</v>
      </c>
      <c r="AW15" s="43"/>
      <c r="AX15" s="43"/>
      <c r="AY15" s="43">
        <f t="shared" si="11"/>
        <v>150.44</v>
      </c>
      <c r="AZ15" s="43">
        <f t="shared" si="11"/>
        <v>0</v>
      </c>
      <c r="BA15" s="43">
        <f t="shared" si="12"/>
        <v>150.44</v>
      </c>
      <c r="BB15" s="60">
        <v>150.44</v>
      </c>
      <c r="BC15" s="60"/>
      <c r="BD15" s="60">
        <f t="shared" si="13"/>
        <v>0</v>
      </c>
      <c r="BE15" s="60">
        <f t="shared" si="13"/>
        <v>0</v>
      </c>
      <c r="BF15" s="60">
        <f t="shared" si="14"/>
        <v>30.09</v>
      </c>
      <c r="BG15" s="60">
        <f t="shared" si="14"/>
        <v>0</v>
      </c>
      <c r="BH15" s="43">
        <v>15.05</v>
      </c>
      <c r="BI15" s="43">
        <v>0</v>
      </c>
      <c r="BJ15" s="43"/>
      <c r="BK15" s="43"/>
      <c r="BL15" s="43">
        <f t="shared" si="1"/>
        <v>165.49</v>
      </c>
      <c r="BM15" s="43">
        <f t="shared" si="1"/>
        <v>0</v>
      </c>
      <c r="BN15" s="43">
        <f t="shared" si="15"/>
        <v>165.49</v>
      </c>
      <c r="BO15" s="43">
        <v>150.44</v>
      </c>
      <c r="BP15" s="93"/>
      <c r="BQ15" s="43">
        <f t="shared" si="16"/>
        <v>15.050000000000011</v>
      </c>
      <c r="BR15" s="43">
        <f t="shared" si="16"/>
        <v>0</v>
      </c>
      <c r="BS15" s="43">
        <f t="shared" si="17"/>
        <v>13.68</v>
      </c>
      <c r="BT15" s="43">
        <f t="shared" si="17"/>
        <v>0</v>
      </c>
      <c r="BU15" s="43">
        <v>0</v>
      </c>
      <c r="BV15" s="43">
        <f>ROUND(BT15-BR15,2)</f>
        <v>0</v>
      </c>
      <c r="BW15" s="43">
        <v>112.81</v>
      </c>
      <c r="BX15" s="43"/>
      <c r="BY15" s="43"/>
      <c r="BZ15" s="43"/>
      <c r="CA15" s="43">
        <v>278.3</v>
      </c>
      <c r="CB15" s="43">
        <v>0</v>
      </c>
      <c r="CC15" s="92">
        <v>306.13</v>
      </c>
      <c r="CD15" s="92">
        <v>0</v>
      </c>
      <c r="CE15" s="92">
        <v>26</v>
      </c>
      <c r="CF15" s="92">
        <v>0</v>
      </c>
      <c r="CG15" s="92">
        <f t="shared" si="19"/>
        <v>69.58</v>
      </c>
      <c r="CH15" s="92">
        <f t="shared" si="19"/>
        <v>0</v>
      </c>
      <c r="CI15" s="43"/>
      <c r="CJ15" s="43"/>
      <c r="CK15" s="72">
        <f>80-10</f>
        <v>70</v>
      </c>
      <c r="CL15" s="43">
        <v>0</v>
      </c>
      <c r="CM15" s="43"/>
      <c r="CN15" s="43"/>
      <c r="CO15" s="43">
        <v>121.42</v>
      </c>
      <c r="CP15" s="43"/>
      <c r="CQ15" s="43">
        <f t="shared" si="20"/>
        <v>280</v>
      </c>
      <c r="CR15" s="43">
        <f t="shared" si="20"/>
        <v>0</v>
      </c>
      <c r="CS15" s="43">
        <f t="shared" si="21"/>
        <v>121.42</v>
      </c>
      <c r="CT15" s="43">
        <f t="shared" si="21"/>
        <v>0</v>
      </c>
      <c r="CU15" s="43">
        <v>121.42</v>
      </c>
      <c r="CV15" s="43">
        <v>0</v>
      </c>
      <c r="CW15" s="43">
        <f>ROUND(CU15*25%,2)-4.94</f>
        <v>25.419999999999998</v>
      </c>
      <c r="CX15" s="43">
        <f t="shared" si="22"/>
        <v>0</v>
      </c>
      <c r="CY15" s="43"/>
      <c r="CZ15" s="43"/>
      <c r="DA15" s="43">
        <f t="shared" si="23"/>
        <v>121.42</v>
      </c>
      <c r="DB15" s="43">
        <f t="shared" si="23"/>
        <v>0</v>
      </c>
      <c r="DC15" s="43">
        <v>121.42</v>
      </c>
      <c r="DD15" s="43">
        <v>0</v>
      </c>
      <c r="DE15" s="43">
        <f t="shared" si="24"/>
        <v>0</v>
      </c>
      <c r="DF15" s="43">
        <f t="shared" si="24"/>
        <v>0</v>
      </c>
      <c r="DG15" s="43">
        <f>ROUND(0.25*(MIN(CU15,EW15)),2)</f>
        <v>30.36</v>
      </c>
      <c r="DH15" s="43">
        <f>ROUND(0.25*(MIN(CV15,EX15)),2)</f>
        <v>0</v>
      </c>
      <c r="DI15" s="43">
        <f>+DG15-DE15-30.36</f>
        <v>0</v>
      </c>
      <c r="DJ15" s="43">
        <f>+DH15-DF15</f>
        <v>0</v>
      </c>
      <c r="DK15" s="43"/>
      <c r="DL15" s="43"/>
      <c r="DM15" s="43">
        <f t="shared" si="25"/>
        <v>121.42</v>
      </c>
      <c r="DN15" s="43">
        <f t="shared" si="25"/>
        <v>0</v>
      </c>
      <c r="DO15" s="94">
        <v>121.42</v>
      </c>
      <c r="DP15" s="95">
        <v>0</v>
      </c>
      <c r="DQ15" s="60">
        <f t="shared" si="26"/>
        <v>0</v>
      </c>
      <c r="DR15" s="60">
        <f t="shared" si="26"/>
        <v>0</v>
      </c>
      <c r="DS15" s="60">
        <f t="shared" si="27"/>
        <v>12.141999999999999</v>
      </c>
      <c r="DT15" s="60">
        <f t="shared" si="27"/>
        <v>0</v>
      </c>
      <c r="DU15" s="60">
        <f t="shared" si="28"/>
        <v>12.141999999999999</v>
      </c>
      <c r="DV15" s="60">
        <f t="shared" si="28"/>
        <v>0</v>
      </c>
      <c r="DW15" s="60">
        <v>158.58000000000001</v>
      </c>
      <c r="DX15" s="60"/>
      <c r="DY15" s="60">
        <v>12.14</v>
      </c>
      <c r="DZ15" s="60">
        <f t="shared" si="29"/>
        <v>0</v>
      </c>
      <c r="EA15" s="60"/>
      <c r="EB15" s="60"/>
      <c r="EC15" s="43">
        <f t="shared" si="30"/>
        <v>133.56</v>
      </c>
      <c r="ED15" s="43">
        <f t="shared" si="30"/>
        <v>0</v>
      </c>
      <c r="EE15" s="43">
        <v>121.42</v>
      </c>
      <c r="EF15" s="43">
        <v>0</v>
      </c>
      <c r="EG15" s="43">
        <f t="shared" si="31"/>
        <v>90.91</v>
      </c>
      <c r="EH15" s="43" t="e">
        <f t="shared" si="31"/>
        <v>#DIV/0!</v>
      </c>
      <c r="EI15" s="43">
        <f t="shared" si="32"/>
        <v>12.14</v>
      </c>
      <c r="EJ15" s="43">
        <f t="shared" si="32"/>
        <v>0</v>
      </c>
      <c r="EK15" s="43">
        <f t="shared" si="33"/>
        <v>11.04</v>
      </c>
      <c r="EL15" s="43">
        <f t="shared" si="33"/>
        <v>0</v>
      </c>
      <c r="EM15" s="43">
        <f t="shared" si="34"/>
        <v>-1.1000000000000014</v>
      </c>
      <c r="EN15" s="43">
        <f t="shared" si="34"/>
        <v>0</v>
      </c>
      <c r="EO15" s="43">
        <v>146.44</v>
      </c>
      <c r="EP15" s="43">
        <v>0</v>
      </c>
      <c r="EQ15" s="5"/>
      <c r="ER15" s="5"/>
      <c r="ES15" s="5"/>
      <c r="ET15" s="5"/>
      <c r="EU15" s="5">
        <f t="shared" si="51"/>
        <v>0</v>
      </c>
      <c r="EV15" s="5">
        <f t="shared" si="51"/>
        <v>0</v>
      </c>
      <c r="EW15" s="5">
        <v>280</v>
      </c>
      <c r="EX15" s="5">
        <v>0</v>
      </c>
      <c r="EY15" s="5">
        <v>398.1</v>
      </c>
      <c r="EZ15" s="5">
        <v>0</v>
      </c>
    </row>
    <row r="16" spans="1:158" ht="18.75" x14ac:dyDescent="0.25">
      <c r="A16" s="68"/>
      <c r="B16" s="68" t="s">
        <v>120</v>
      </c>
      <c r="C16" s="91" t="s">
        <v>117</v>
      </c>
      <c r="D16" s="67" t="s">
        <v>118</v>
      </c>
      <c r="E16" s="69" t="s">
        <v>121</v>
      </c>
      <c r="F16" s="70">
        <v>2172.0300000000002</v>
      </c>
      <c r="G16" s="70">
        <v>2564.23</v>
      </c>
      <c r="H16" s="70">
        <v>2172.0300000000002</v>
      </c>
      <c r="I16" s="70">
        <v>2644.23</v>
      </c>
      <c r="J16" s="71">
        <f t="shared" ref="J16:AA16" si="52">+J14+J15</f>
        <v>2593.3000000000002</v>
      </c>
      <c r="K16" s="71">
        <f t="shared" si="52"/>
        <v>0</v>
      </c>
      <c r="L16" s="71">
        <f t="shared" si="52"/>
        <v>0</v>
      </c>
      <c r="M16" s="71">
        <f t="shared" si="52"/>
        <v>2593.3000000000002</v>
      </c>
      <c r="N16" s="71">
        <f t="shared" si="52"/>
        <v>0</v>
      </c>
      <c r="O16" s="71">
        <f t="shared" si="52"/>
        <v>0</v>
      </c>
      <c r="P16" s="71">
        <f t="shared" si="52"/>
        <v>0</v>
      </c>
      <c r="Q16" s="71">
        <f t="shared" si="52"/>
        <v>0</v>
      </c>
      <c r="R16" s="71">
        <f t="shared" si="52"/>
        <v>2593.3000000000002</v>
      </c>
      <c r="S16" s="71">
        <f t="shared" si="52"/>
        <v>2742</v>
      </c>
      <c r="T16" s="71">
        <f t="shared" si="52"/>
        <v>0</v>
      </c>
      <c r="U16" s="71">
        <f t="shared" si="52"/>
        <v>0</v>
      </c>
      <c r="V16" s="71">
        <f t="shared" si="52"/>
        <v>2298.65</v>
      </c>
      <c r="W16" s="71">
        <f t="shared" si="52"/>
        <v>2730.7</v>
      </c>
      <c r="X16" s="71">
        <f t="shared" si="52"/>
        <v>294.65000000000003</v>
      </c>
      <c r="Y16" s="71">
        <f t="shared" si="52"/>
        <v>11.300000000000182</v>
      </c>
      <c r="Z16" s="71">
        <f t="shared" si="52"/>
        <v>2298.65</v>
      </c>
      <c r="AA16" s="71">
        <f t="shared" si="52"/>
        <v>0</v>
      </c>
      <c r="AB16" s="70">
        <f t="shared" si="3"/>
        <v>2298.65</v>
      </c>
      <c r="AC16" s="43">
        <f t="shared" si="4"/>
        <v>0</v>
      </c>
      <c r="AD16" s="70">
        <f t="shared" ref="AD16:CP16" si="53">+AD14+AD15</f>
        <v>2298.65</v>
      </c>
      <c r="AE16" s="70">
        <f t="shared" si="53"/>
        <v>2730.7</v>
      </c>
      <c r="AF16" s="70">
        <f t="shared" si="53"/>
        <v>2473.83</v>
      </c>
      <c r="AG16" s="70">
        <f t="shared" si="53"/>
        <v>574</v>
      </c>
      <c r="AH16" s="70">
        <f t="shared" si="53"/>
        <v>683</v>
      </c>
      <c r="AI16" s="96">
        <f t="shared" si="53"/>
        <v>191</v>
      </c>
      <c r="AJ16" s="70">
        <f t="shared" si="53"/>
        <v>228</v>
      </c>
      <c r="AK16" s="70">
        <f t="shared" si="53"/>
        <v>0</v>
      </c>
      <c r="AL16" s="70">
        <f t="shared" si="53"/>
        <v>0</v>
      </c>
      <c r="AM16" s="70">
        <f t="shared" si="53"/>
        <v>574.66000000000008</v>
      </c>
      <c r="AN16" s="70">
        <f t="shared" si="53"/>
        <v>664.93</v>
      </c>
      <c r="AO16" s="70">
        <f t="shared" si="53"/>
        <v>0</v>
      </c>
      <c r="AP16" s="70">
        <f t="shared" si="53"/>
        <v>0</v>
      </c>
      <c r="AQ16" s="70">
        <f t="shared" si="53"/>
        <v>1148.6600000000001</v>
      </c>
      <c r="AR16" s="70">
        <f t="shared" si="53"/>
        <v>1347.9299999999998</v>
      </c>
      <c r="AS16" s="70">
        <f t="shared" si="53"/>
        <v>0</v>
      </c>
      <c r="AT16" s="70">
        <f t="shared" si="53"/>
        <v>0</v>
      </c>
      <c r="AU16" s="70">
        <f t="shared" si="53"/>
        <v>574.66000000000008</v>
      </c>
      <c r="AV16" s="70">
        <f t="shared" si="53"/>
        <v>582.67999999999995</v>
      </c>
      <c r="AW16" s="70">
        <f t="shared" si="53"/>
        <v>0</v>
      </c>
      <c r="AX16" s="70">
        <f t="shared" si="53"/>
        <v>0</v>
      </c>
      <c r="AY16" s="70">
        <f t="shared" si="53"/>
        <v>1914.3200000000002</v>
      </c>
      <c r="AZ16" s="70">
        <f t="shared" si="53"/>
        <v>2158.6099999999997</v>
      </c>
      <c r="BA16" s="70">
        <f t="shared" si="53"/>
        <v>4072.93</v>
      </c>
      <c r="BB16" s="70">
        <f t="shared" si="53"/>
        <v>1746.0700000000002</v>
      </c>
      <c r="BC16" s="70">
        <f t="shared" si="53"/>
        <v>2164.38</v>
      </c>
      <c r="BD16" s="70">
        <f t="shared" si="53"/>
        <v>168.25</v>
      </c>
      <c r="BE16" s="70">
        <f t="shared" si="53"/>
        <v>-5.7700000000004366</v>
      </c>
      <c r="BF16" s="70">
        <f t="shared" si="53"/>
        <v>349.21999999999997</v>
      </c>
      <c r="BG16" s="96">
        <f t="shared" si="53"/>
        <v>432.88</v>
      </c>
      <c r="BH16" s="96">
        <f t="shared" si="53"/>
        <v>90.49</v>
      </c>
      <c r="BI16" s="96">
        <f t="shared" si="53"/>
        <v>265.33</v>
      </c>
      <c r="BJ16" s="96">
        <f t="shared" si="53"/>
        <v>0</v>
      </c>
      <c r="BK16" s="96">
        <f t="shared" si="53"/>
        <v>0</v>
      </c>
      <c r="BL16" s="96">
        <f t="shared" si="53"/>
        <v>2004.8100000000002</v>
      </c>
      <c r="BM16" s="96">
        <f t="shared" si="53"/>
        <v>2423.9399999999996</v>
      </c>
      <c r="BN16" s="96">
        <f t="shared" si="53"/>
        <v>4428.75</v>
      </c>
      <c r="BO16" s="96">
        <f t="shared" si="53"/>
        <v>1909.77</v>
      </c>
      <c r="BP16" s="96">
        <f t="shared" si="53"/>
        <v>2561.33</v>
      </c>
      <c r="BQ16" s="70">
        <f t="shared" si="53"/>
        <v>95.040000000000248</v>
      </c>
      <c r="BR16" s="70">
        <f t="shared" si="53"/>
        <v>-137.39000000000033</v>
      </c>
      <c r="BS16" s="70">
        <f t="shared" si="53"/>
        <v>173.62</v>
      </c>
      <c r="BT16" s="70">
        <f t="shared" si="53"/>
        <v>232.85</v>
      </c>
      <c r="BU16" s="70">
        <f t="shared" si="53"/>
        <v>102</v>
      </c>
      <c r="BV16" s="70">
        <f t="shared" si="53"/>
        <v>280</v>
      </c>
      <c r="BW16" s="70">
        <f t="shared" si="53"/>
        <v>112.81</v>
      </c>
      <c r="BX16" s="70">
        <f t="shared" si="53"/>
        <v>0</v>
      </c>
      <c r="BY16" s="70">
        <f t="shared" si="53"/>
        <v>0</v>
      </c>
      <c r="BZ16" s="70">
        <f t="shared" si="53"/>
        <v>0</v>
      </c>
      <c r="CA16" s="70">
        <f t="shared" si="53"/>
        <v>2219.6200000000003</v>
      </c>
      <c r="CB16" s="70">
        <f t="shared" si="53"/>
        <v>2703.9399999999996</v>
      </c>
      <c r="CC16" s="70">
        <f t="shared" si="53"/>
        <v>2441.58</v>
      </c>
      <c r="CD16" s="70">
        <f t="shared" si="53"/>
        <v>3109.53</v>
      </c>
      <c r="CE16" s="70">
        <f t="shared" si="53"/>
        <v>204</v>
      </c>
      <c r="CF16" s="70">
        <f t="shared" si="53"/>
        <v>259</v>
      </c>
      <c r="CG16" s="70">
        <f t="shared" si="53"/>
        <v>554.91</v>
      </c>
      <c r="CH16" s="96">
        <f t="shared" si="53"/>
        <v>675.99</v>
      </c>
      <c r="CI16" s="70">
        <f t="shared" si="53"/>
        <v>0</v>
      </c>
      <c r="CJ16" s="70">
        <f t="shared" si="53"/>
        <v>0</v>
      </c>
      <c r="CK16" s="70">
        <f t="shared" si="53"/>
        <v>545</v>
      </c>
      <c r="CL16" s="70">
        <f t="shared" si="53"/>
        <v>700</v>
      </c>
      <c r="CM16" s="70">
        <f t="shared" si="53"/>
        <v>0</v>
      </c>
      <c r="CN16" s="70">
        <f t="shared" si="53"/>
        <v>0</v>
      </c>
      <c r="CO16" s="70">
        <f t="shared" si="53"/>
        <v>2021.42</v>
      </c>
      <c r="CP16" s="70">
        <f t="shared" si="53"/>
        <v>2800</v>
      </c>
      <c r="CQ16" s="70">
        <f t="shared" ref="CQ16:EZ16" si="54">+CQ14+CQ15</f>
        <v>2180</v>
      </c>
      <c r="CR16" s="70">
        <f t="shared" si="54"/>
        <v>2800</v>
      </c>
      <c r="CS16" s="70">
        <f t="shared" si="54"/>
        <v>2021.42</v>
      </c>
      <c r="CT16" s="70">
        <f t="shared" si="54"/>
        <v>2800</v>
      </c>
      <c r="CU16" s="70">
        <f t="shared" si="54"/>
        <v>2021.42</v>
      </c>
      <c r="CV16" s="70">
        <f t="shared" si="54"/>
        <v>2800</v>
      </c>
      <c r="CW16" s="70">
        <f t="shared" si="54"/>
        <v>500.42</v>
      </c>
      <c r="CX16" s="70">
        <f t="shared" si="54"/>
        <v>700</v>
      </c>
      <c r="CY16" s="70">
        <f t="shared" si="54"/>
        <v>0</v>
      </c>
      <c r="CZ16" s="70">
        <f t="shared" si="54"/>
        <v>0</v>
      </c>
      <c r="DA16" s="70">
        <f t="shared" si="54"/>
        <v>1249.42</v>
      </c>
      <c r="DB16" s="70">
        <f t="shared" si="54"/>
        <v>1659</v>
      </c>
      <c r="DC16" s="70">
        <f t="shared" si="54"/>
        <v>1288.1600000000001</v>
      </c>
      <c r="DD16" s="70">
        <f t="shared" si="54"/>
        <v>1873.07</v>
      </c>
      <c r="DE16" s="70">
        <f t="shared" si="54"/>
        <v>-38.740000000000009</v>
      </c>
      <c r="DF16" s="70">
        <f t="shared" si="54"/>
        <v>-214.06999999999994</v>
      </c>
      <c r="DG16" s="70">
        <f t="shared" si="54"/>
        <v>505.36</v>
      </c>
      <c r="DH16" s="70">
        <f t="shared" si="54"/>
        <v>700</v>
      </c>
      <c r="DI16" s="70">
        <f t="shared" si="54"/>
        <v>513.74</v>
      </c>
      <c r="DJ16" s="70">
        <f t="shared" si="54"/>
        <v>914.06999999999994</v>
      </c>
      <c r="DK16" s="70">
        <f t="shared" si="54"/>
        <v>0</v>
      </c>
      <c r="DL16" s="70">
        <f t="shared" si="54"/>
        <v>0</v>
      </c>
      <c r="DM16" s="70">
        <f t="shared" si="54"/>
        <v>1763.16</v>
      </c>
      <c r="DN16" s="70">
        <f t="shared" si="54"/>
        <v>2573.0699999999997</v>
      </c>
      <c r="DO16" s="97">
        <f t="shared" ref="DO16:ES16" si="55">DO14+DO15</f>
        <v>1783.22</v>
      </c>
      <c r="DP16" s="98">
        <f t="shared" si="55"/>
        <v>2531.4299999999998</v>
      </c>
      <c r="DQ16" s="98">
        <f t="shared" si="55"/>
        <v>-20.059999999999999</v>
      </c>
      <c r="DR16" s="98">
        <f t="shared" si="55"/>
        <v>41.64</v>
      </c>
      <c r="DS16" s="98">
        <f t="shared" si="55"/>
        <v>178.322</v>
      </c>
      <c r="DT16" s="98">
        <f t="shared" si="55"/>
        <v>253.14299999999997</v>
      </c>
      <c r="DU16" s="98">
        <f t="shared" si="55"/>
        <v>198.38200000000001</v>
      </c>
      <c r="DV16" s="98">
        <f t="shared" si="55"/>
        <v>211.50299999999999</v>
      </c>
      <c r="DW16" s="98">
        <f t="shared" si="55"/>
        <v>158.58000000000001</v>
      </c>
      <c r="DX16" s="98">
        <f t="shared" si="55"/>
        <v>0</v>
      </c>
      <c r="DY16" s="98">
        <f t="shared" si="55"/>
        <v>198.38</v>
      </c>
      <c r="DZ16" s="98">
        <f t="shared" si="55"/>
        <v>211.5</v>
      </c>
      <c r="EA16" s="98">
        <f t="shared" si="55"/>
        <v>0</v>
      </c>
      <c r="EB16" s="134">
        <f t="shared" si="55"/>
        <v>0</v>
      </c>
      <c r="EC16" s="140">
        <f t="shared" si="55"/>
        <v>1961.54</v>
      </c>
      <c r="ED16" s="140">
        <f t="shared" si="55"/>
        <v>2784.5699999999997</v>
      </c>
      <c r="EE16" s="140">
        <f t="shared" si="55"/>
        <v>1932.3200000000002</v>
      </c>
      <c r="EF16" s="140">
        <f t="shared" si="55"/>
        <v>2751.66</v>
      </c>
      <c r="EG16" s="140">
        <f t="shared" si="55"/>
        <v>189.98</v>
      </c>
      <c r="EH16" s="140" t="e">
        <f t="shared" si="55"/>
        <v>#DIV/0!</v>
      </c>
      <c r="EI16" s="140">
        <f t="shared" si="55"/>
        <v>29.22</v>
      </c>
      <c r="EJ16" s="140">
        <f t="shared" si="55"/>
        <v>32.909999999999997</v>
      </c>
      <c r="EK16" s="140">
        <f t="shared" si="55"/>
        <v>175.67</v>
      </c>
      <c r="EL16" s="140">
        <f t="shared" si="55"/>
        <v>250.15</v>
      </c>
      <c r="EM16" s="140">
        <f t="shared" si="55"/>
        <v>146.45000000000002</v>
      </c>
      <c r="EN16" s="140">
        <f t="shared" si="55"/>
        <v>217.24</v>
      </c>
      <c r="EO16" s="140">
        <f t="shared" si="55"/>
        <v>319.36</v>
      </c>
      <c r="EP16" s="140">
        <f t="shared" si="55"/>
        <v>327.52999999999997</v>
      </c>
      <c r="EQ16" s="136">
        <f t="shared" si="55"/>
        <v>0</v>
      </c>
      <c r="ER16" s="47">
        <f t="shared" si="55"/>
        <v>0</v>
      </c>
      <c r="ES16" s="47">
        <f t="shared" si="55"/>
        <v>0</v>
      </c>
      <c r="ET16" s="53"/>
      <c r="EU16" s="5">
        <f>+EW16-EC16-EO16</f>
        <v>49.100000000000023</v>
      </c>
      <c r="EV16" s="5">
        <f>+EX16-ED16-EP16</f>
        <v>87.900000000000318</v>
      </c>
      <c r="EW16" s="46">
        <f t="shared" si="54"/>
        <v>2330</v>
      </c>
      <c r="EX16" s="46">
        <f t="shared" si="54"/>
        <v>3200</v>
      </c>
      <c r="EY16" s="46">
        <f t="shared" si="54"/>
        <v>2583.1</v>
      </c>
      <c r="EZ16" s="46">
        <f t="shared" si="54"/>
        <v>3320</v>
      </c>
    </row>
    <row r="17" spans="1:158" ht="18.75" x14ac:dyDescent="0.25">
      <c r="A17" s="37">
        <v>9</v>
      </c>
      <c r="B17" s="37"/>
      <c r="C17" s="91" t="s">
        <v>122</v>
      </c>
      <c r="D17" s="38" t="s">
        <v>123</v>
      </c>
      <c r="E17" s="39"/>
      <c r="F17" s="40">
        <v>21584.51</v>
      </c>
      <c r="G17" s="40">
        <v>18901.61</v>
      </c>
      <c r="H17" s="40">
        <v>21709.51</v>
      </c>
      <c r="I17" s="40">
        <v>18901.61</v>
      </c>
      <c r="J17" s="41">
        <v>23200</v>
      </c>
      <c r="K17" s="41">
        <v>0</v>
      </c>
      <c r="L17" s="41">
        <v>0</v>
      </c>
      <c r="M17" s="41">
        <f>J17+K17+L17</f>
        <v>23200</v>
      </c>
      <c r="N17" s="41">
        <v>0</v>
      </c>
      <c r="O17" s="41">
        <v>0</v>
      </c>
      <c r="P17" s="41">
        <v>0</v>
      </c>
      <c r="Q17" s="41">
        <f>N17+O17+P17</f>
        <v>0</v>
      </c>
      <c r="R17" s="41">
        <f>Q17+M17</f>
        <v>23200</v>
      </c>
      <c r="S17" s="41">
        <v>21000</v>
      </c>
      <c r="T17" s="92"/>
      <c r="U17" s="92"/>
      <c r="V17" s="40">
        <f>ROUND(H17*1.0583,2)</f>
        <v>22975.17</v>
      </c>
      <c r="W17" s="40">
        <f>ROUND(I17*1.0327,2)</f>
        <v>19519.689999999999</v>
      </c>
      <c r="X17" s="43">
        <f t="shared" si="2"/>
        <v>224.83000000000175</v>
      </c>
      <c r="Y17" s="43">
        <f t="shared" si="2"/>
        <v>1480.3100000000013</v>
      </c>
      <c r="Z17" s="43">
        <v>22975.17</v>
      </c>
      <c r="AA17" s="43"/>
      <c r="AB17" s="43">
        <f t="shared" si="3"/>
        <v>22975.17</v>
      </c>
      <c r="AC17" s="43">
        <f t="shared" si="4"/>
        <v>0</v>
      </c>
      <c r="AD17" s="43">
        <f>IF(X17&gt;0,V17,R17)</f>
        <v>22975.17</v>
      </c>
      <c r="AE17" s="43">
        <f>IF(Y17&gt;0,W17,S17)+500</f>
        <v>20019.689999999999</v>
      </c>
      <c r="AF17" s="43">
        <f t="shared" si="5"/>
        <v>18946.2</v>
      </c>
      <c r="AG17" s="43">
        <f t="shared" si="6"/>
        <v>5744</v>
      </c>
      <c r="AH17" s="43">
        <f t="shared" si="6"/>
        <v>5005</v>
      </c>
      <c r="AI17" s="93">
        <f t="shared" si="7"/>
        <v>1915</v>
      </c>
      <c r="AJ17" s="43">
        <f t="shared" si="7"/>
        <v>1668</v>
      </c>
      <c r="AK17" s="43"/>
      <c r="AL17" s="43"/>
      <c r="AM17" s="43">
        <f t="shared" si="8"/>
        <v>5743.79</v>
      </c>
      <c r="AN17" s="43">
        <f>ROUND(AE17*24.35%,2)</f>
        <v>4874.79</v>
      </c>
      <c r="AO17" s="43"/>
      <c r="AP17" s="43"/>
      <c r="AQ17" s="43">
        <f t="shared" si="10"/>
        <v>11487.79</v>
      </c>
      <c r="AR17" s="43">
        <f t="shared" si="10"/>
        <v>9879.7900000000009</v>
      </c>
      <c r="AS17" s="43">
        <v>300</v>
      </c>
      <c r="AT17" s="43"/>
      <c r="AU17" s="43">
        <f>ROUND(AD17*25%,2)+756.21</f>
        <v>6500</v>
      </c>
      <c r="AV17" s="43">
        <f>ROUND(AE17*25%,2)+1995.08</f>
        <v>7000</v>
      </c>
      <c r="AW17" s="43"/>
      <c r="AX17" s="43"/>
      <c r="AY17" s="43">
        <f t="shared" si="11"/>
        <v>20202.79</v>
      </c>
      <c r="AZ17" s="43">
        <f t="shared" si="11"/>
        <v>18547.79</v>
      </c>
      <c r="BA17" s="43">
        <f t="shared" si="12"/>
        <v>38750.58</v>
      </c>
      <c r="BB17" s="60">
        <v>19212.52</v>
      </c>
      <c r="BC17" s="60">
        <v>18544.14</v>
      </c>
      <c r="BD17" s="60">
        <f t="shared" si="13"/>
        <v>990.27000000000044</v>
      </c>
      <c r="BE17" s="60">
        <f t="shared" si="13"/>
        <v>3.6500000000014552</v>
      </c>
      <c r="BF17" s="60">
        <f t="shared" si="14"/>
        <v>3842.5</v>
      </c>
      <c r="BG17" s="60">
        <f t="shared" si="14"/>
        <v>3708.83</v>
      </c>
      <c r="BH17" s="43">
        <v>2450</v>
      </c>
      <c r="BI17" s="43">
        <v>2000</v>
      </c>
      <c r="BJ17" s="43"/>
      <c r="BK17" s="43"/>
      <c r="BL17" s="43">
        <f t="shared" si="1"/>
        <v>22652.79</v>
      </c>
      <c r="BM17" s="43">
        <f t="shared" si="1"/>
        <v>20547.79</v>
      </c>
      <c r="BN17" s="43">
        <f t="shared" si="15"/>
        <v>43200.58</v>
      </c>
      <c r="BO17" s="43">
        <v>21397.05</v>
      </c>
      <c r="BP17" s="93">
        <v>20023.29</v>
      </c>
      <c r="BQ17" s="43">
        <f t="shared" si="16"/>
        <v>1255.7400000000016</v>
      </c>
      <c r="BR17" s="43">
        <f t="shared" si="16"/>
        <v>524.5</v>
      </c>
      <c r="BS17" s="43">
        <f t="shared" si="17"/>
        <v>1945.19</v>
      </c>
      <c r="BT17" s="43">
        <f t="shared" si="17"/>
        <v>1820.3</v>
      </c>
      <c r="BU17" s="43">
        <f>ROUND(BS17-BQ17,2)-1.36-2.65</f>
        <v>685.44</v>
      </c>
      <c r="BV17" s="43">
        <f>ROUND(BT17-BR17,2)-50</f>
        <v>1245.8</v>
      </c>
      <c r="BW17" s="43">
        <v>1000</v>
      </c>
      <c r="BX17" s="43">
        <v>404</v>
      </c>
      <c r="BY17" s="43"/>
      <c r="BZ17" s="43"/>
      <c r="CA17" s="43">
        <v>24338.23</v>
      </c>
      <c r="CB17" s="43">
        <v>22197.59</v>
      </c>
      <c r="CC17" s="92">
        <v>26772.05</v>
      </c>
      <c r="CD17" s="92">
        <v>25527.23</v>
      </c>
      <c r="CE17" s="92">
        <v>2231</v>
      </c>
      <c r="CF17" s="92">
        <v>2127</v>
      </c>
      <c r="CG17" s="92">
        <f t="shared" si="19"/>
        <v>6084.56</v>
      </c>
      <c r="CH17" s="92">
        <f t="shared" si="19"/>
        <v>5549.4</v>
      </c>
      <c r="CI17" s="43"/>
      <c r="CJ17" s="43"/>
      <c r="CK17" s="43">
        <v>6200</v>
      </c>
      <c r="CL17" s="72">
        <f>6400-900</f>
        <v>5500</v>
      </c>
      <c r="CM17" s="72"/>
      <c r="CN17" s="72"/>
      <c r="CO17" s="43">
        <v>32165</v>
      </c>
      <c r="CP17" s="43">
        <v>23023</v>
      </c>
      <c r="CQ17" s="43">
        <f t="shared" si="20"/>
        <v>24800</v>
      </c>
      <c r="CR17" s="43">
        <f t="shared" si="20"/>
        <v>22000</v>
      </c>
      <c r="CS17" s="43">
        <f t="shared" si="21"/>
        <v>24800</v>
      </c>
      <c r="CT17" s="43">
        <f t="shared" si="21"/>
        <v>22000</v>
      </c>
      <c r="CU17" s="43">
        <v>24800</v>
      </c>
      <c r="CV17" s="43">
        <v>22000</v>
      </c>
      <c r="CW17" s="43">
        <f t="shared" si="22"/>
        <v>6200</v>
      </c>
      <c r="CX17" s="43">
        <f t="shared" si="22"/>
        <v>5500</v>
      </c>
      <c r="CY17" s="43"/>
      <c r="CZ17" s="43">
        <v>250</v>
      </c>
      <c r="DA17" s="43">
        <f t="shared" si="23"/>
        <v>14631</v>
      </c>
      <c r="DB17" s="43">
        <f t="shared" si="23"/>
        <v>13377</v>
      </c>
      <c r="DC17" s="43">
        <v>13446.5</v>
      </c>
      <c r="DD17" s="43">
        <v>13408.74</v>
      </c>
      <c r="DE17" s="43">
        <f t="shared" si="24"/>
        <v>1184.5</v>
      </c>
      <c r="DF17" s="43">
        <f t="shared" si="24"/>
        <v>-31.739999999999782</v>
      </c>
      <c r="DG17" s="43">
        <f t="shared" ref="DG17:DH23" si="56">ROUND(0.25*(MIN(CU17,EW17)),2)</f>
        <v>6200</v>
      </c>
      <c r="DH17" s="43">
        <f t="shared" si="56"/>
        <v>5500</v>
      </c>
      <c r="DI17" s="43">
        <f t="shared" ref="DI17:DJ23" si="57">+DG17-DE17</f>
        <v>5015.5</v>
      </c>
      <c r="DJ17" s="43">
        <f t="shared" si="57"/>
        <v>5531.74</v>
      </c>
      <c r="DK17" s="43">
        <v>500</v>
      </c>
      <c r="DL17" s="43"/>
      <c r="DM17" s="43">
        <f t="shared" si="25"/>
        <v>20146.5</v>
      </c>
      <c r="DN17" s="43">
        <f t="shared" si="25"/>
        <v>18908.739999999998</v>
      </c>
      <c r="DO17" s="94">
        <v>20481.96</v>
      </c>
      <c r="DP17" s="95">
        <v>18866.599999999999</v>
      </c>
      <c r="DQ17" s="60">
        <f t="shared" si="26"/>
        <v>-335.46</v>
      </c>
      <c r="DR17" s="60">
        <f t="shared" si="26"/>
        <v>42.14</v>
      </c>
      <c r="DS17" s="60">
        <f t="shared" si="27"/>
        <v>2048.1959999999999</v>
      </c>
      <c r="DT17" s="60">
        <f t="shared" si="27"/>
        <v>1886.6599999999999</v>
      </c>
      <c r="DU17" s="60">
        <f t="shared" si="28"/>
        <v>2383.6559999999999</v>
      </c>
      <c r="DV17" s="60">
        <f t="shared" si="28"/>
        <v>1844.5199999999998</v>
      </c>
      <c r="DW17" s="60">
        <v>1000</v>
      </c>
      <c r="DX17" s="60">
        <v>600</v>
      </c>
      <c r="DY17" s="60">
        <v>2383.66</v>
      </c>
      <c r="DZ17" s="60">
        <v>1900</v>
      </c>
      <c r="EA17" s="60"/>
      <c r="EB17" s="60"/>
      <c r="EC17" s="43">
        <f t="shared" si="30"/>
        <v>22530.16</v>
      </c>
      <c r="ED17" s="43">
        <f t="shared" si="30"/>
        <v>20808.739999999998</v>
      </c>
      <c r="EE17" s="43">
        <v>22384.9</v>
      </c>
      <c r="EF17" s="43">
        <v>20808.63</v>
      </c>
      <c r="EG17" s="43">
        <f t="shared" si="31"/>
        <v>99.36</v>
      </c>
      <c r="EH17" s="43">
        <f t="shared" si="31"/>
        <v>100</v>
      </c>
      <c r="EI17" s="43">
        <f t="shared" si="32"/>
        <v>145.26</v>
      </c>
      <c r="EJ17" s="43">
        <f t="shared" si="32"/>
        <v>0.11</v>
      </c>
      <c r="EK17" s="43">
        <f t="shared" si="33"/>
        <v>2034.99</v>
      </c>
      <c r="EL17" s="43">
        <f t="shared" si="33"/>
        <v>1891.69</v>
      </c>
      <c r="EM17" s="43">
        <f t="shared" si="34"/>
        <v>1889.73</v>
      </c>
      <c r="EN17" s="43">
        <f t="shared" si="34"/>
        <v>1891.5800000000002</v>
      </c>
      <c r="EO17" s="43">
        <v>2400</v>
      </c>
      <c r="EP17" s="43">
        <v>2200</v>
      </c>
      <c r="EQ17" s="5"/>
      <c r="ER17" s="5"/>
      <c r="ES17" s="5"/>
      <c r="ET17" s="5"/>
      <c r="EU17" s="5">
        <f>+EW17-EC17-EO17</f>
        <v>1069.8400000000001</v>
      </c>
      <c r="EV17" s="5">
        <f>+EX17-ED17-EP17</f>
        <v>991.26000000000204</v>
      </c>
      <c r="EW17" s="5">
        <v>26000</v>
      </c>
      <c r="EX17" s="5">
        <v>24000</v>
      </c>
      <c r="EY17" s="5">
        <v>29000</v>
      </c>
      <c r="EZ17" s="5">
        <v>25000</v>
      </c>
    </row>
    <row r="18" spans="1:158" ht="18.75" x14ac:dyDescent="0.25">
      <c r="A18" s="37">
        <v>10</v>
      </c>
      <c r="B18" s="37"/>
      <c r="C18" s="91" t="s">
        <v>122</v>
      </c>
      <c r="D18" s="38" t="s">
        <v>124</v>
      </c>
      <c r="E18" s="39"/>
      <c r="F18" s="40">
        <v>387.7</v>
      </c>
      <c r="G18" s="40">
        <v>0</v>
      </c>
      <c r="H18" s="40">
        <v>387.7</v>
      </c>
      <c r="I18" s="40">
        <v>0</v>
      </c>
      <c r="J18" s="41">
        <v>517.16999999999996</v>
      </c>
      <c r="K18" s="41">
        <v>0</v>
      </c>
      <c r="L18" s="41">
        <v>0</v>
      </c>
      <c r="M18" s="41">
        <f>J18+K18+L18</f>
        <v>517.16999999999996</v>
      </c>
      <c r="N18" s="41">
        <v>0</v>
      </c>
      <c r="O18" s="41">
        <v>0</v>
      </c>
      <c r="P18" s="41">
        <v>0</v>
      </c>
      <c r="Q18" s="41">
        <f t="shared" ref="Q18:Q25" si="58">N18+O18+P18</f>
        <v>0</v>
      </c>
      <c r="R18" s="41">
        <f t="shared" ref="R18:R35" si="59">Q18+M18</f>
        <v>517.16999999999996</v>
      </c>
      <c r="S18" s="41">
        <v>0</v>
      </c>
      <c r="T18" s="92"/>
      <c r="U18" s="92"/>
      <c r="V18" s="40">
        <f>ROUND(H18*1.0583,2)</f>
        <v>410.3</v>
      </c>
      <c r="W18" s="40">
        <f>ROUND(I18*1.0327,2)</f>
        <v>0</v>
      </c>
      <c r="X18" s="43">
        <f t="shared" si="2"/>
        <v>106.86999999999995</v>
      </c>
      <c r="Y18" s="43">
        <f t="shared" si="2"/>
        <v>0</v>
      </c>
      <c r="Z18" s="43">
        <v>410.3</v>
      </c>
      <c r="AA18" s="43"/>
      <c r="AB18" s="43">
        <f t="shared" si="3"/>
        <v>410.3</v>
      </c>
      <c r="AC18" s="43">
        <f t="shared" si="4"/>
        <v>0</v>
      </c>
      <c r="AD18" s="43">
        <f>IF(X18&gt;0,V18,R18)</f>
        <v>410.3</v>
      </c>
      <c r="AE18" s="43">
        <f>IF(Y18&gt;0,W18,S18)</f>
        <v>0</v>
      </c>
      <c r="AF18" s="43">
        <f t="shared" si="5"/>
        <v>0</v>
      </c>
      <c r="AG18" s="43">
        <f t="shared" si="6"/>
        <v>103</v>
      </c>
      <c r="AH18" s="43">
        <f t="shared" si="6"/>
        <v>0</v>
      </c>
      <c r="AI18" s="93">
        <f t="shared" si="7"/>
        <v>34</v>
      </c>
      <c r="AJ18" s="43">
        <f t="shared" si="7"/>
        <v>0</v>
      </c>
      <c r="AK18" s="43"/>
      <c r="AL18" s="43"/>
      <c r="AM18" s="43">
        <f t="shared" si="8"/>
        <v>102.58</v>
      </c>
      <c r="AN18" s="43">
        <f t="shared" si="9"/>
        <v>0</v>
      </c>
      <c r="AO18" s="43"/>
      <c r="AP18" s="43"/>
      <c r="AQ18" s="43">
        <f t="shared" si="10"/>
        <v>205.57999999999998</v>
      </c>
      <c r="AR18" s="43">
        <f t="shared" si="10"/>
        <v>0</v>
      </c>
      <c r="AS18" s="43"/>
      <c r="AT18" s="43"/>
      <c r="AU18" s="43">
        <f t="shared" si="0"/>
        <v>102.58</v>
      </c>
      <c r="AV18" s="43">
        <f t="shared" si="0"/>
        <v>0</v>
      </c>
      <c r="AW18" s="43"/>
      <c r="AX18" s="43"/>
      <c r="AY18" s="43">
        <f t="shared" si="11"/>
        <v>342.15999999999997</v>
      </c>
      <c r="AZ18" s="43">
        <f t="shared" si="11"/>
        <v>0</v>
      </c>
      <c r="BA18" s="43">
        <f t="shared" si="12"/>
        <v>342.15999999999997</v>
      </c>
      <c r="BB18" s="60">
        <v>239.58</v>
      </c>
      <c r="BC18" s="60"/>
      <c r="BD18" s="60">
        <f t="shared" si="13"/>
        <v>102.57999999999996</v>
      </c>
      <c r="BE18" s="60">
        <f t="shared" si="13"/>
        <v>0</v>
      </c>
      <c r="BF18" s="60">
        <f t="shared" si="14"/>
        <v>47.92</v>
      </c>
      <c r="BG18" s="60">
        <f t="shared" si="14"/>
        <v>0</v>
      </c>
      <c r="BH18" s="43">
        <v>0</v>
      </c>
      <c r="BI18" s="43">
        <v>0</v>
      </c>
      <c r="BJ18" s="43"/>
      <c r="BK18" s="43"/>
      <c r="BL18" s="43">
        <f t="shared" si="1"/>
        <v>342.15999999999997</v>
      </c>
      <c r="BM18" s="43">
        <f t="shared" si="1"/>
        <v>0</v>
      </c>
      <c r="BN18" s="43">
        <f t="shared" si="15"/>
        <v>342.15999999999997</v>
      </c>
      <c r="BO18" s="43">
        <v>342.16</v>
      </c>
      <c r="BP18" s="93"/>
      <c r="BQ18" s="43">
        <f t="shared" si="16"/>
        <v>0</v>
      </c>
      <c r="BR18" s="43">
        <f t="shared" si="16"/>
        <v>0</v>
      </c>
      <c r="BS18" s="43">
        <f t="shared" si="17"/>
        <v>31.11</v>
      </c>
      <c r="BT18" s="43">
        <f t="shared" si="17"/>
        <v>0</v>
      </c>
      <c r="BU18" s="43">
        <f t="shared" ref="BU18:BV28" si="60">ROUND(BS18-BQ18,2)</f>
        <v>31.11</v>
      </c>
      <c r="BV18" s="43">
        <f t="shared" si="60"/>
        <v>0</v>
      </c>
      <c r="BW18" s="43"/>
      <c r="BX18" s="43"/>
      <c r="BY18" s="43"/>
      <c r="BZ18" s="43"/>
      <c r="CA18" s="43">
        <v>373.27</v>
      </c>
      <c r="CB18" s="43">
        <v>0</v>
      </c>
      <c r="CC18" s="92">
        <v>410.6</v>
      </c>
      <c r="CD18" s="92">
        <v>0</v>
      </c>
      <c r="CE18" s="92">
        <v>34</v>
      </c>
      <c r="CF18" s="92">
        <v>0</v>
      </c>
      <c r="CG18" s="92">
        <f t="shared" si="19"/>
        <v>93.32</v>
      </c>
      <c r="CH18" s="92">
        <f t="shared" si="19"/>
        <v>0</v>
      </c>
      <c r="CI18" s="43"/>
      <c r="CJ18" s="43"/>
      <c r="CK18" s="43">
        <v>100</v>
      </c>
      <c r="CL18" s="43">
        <v>0</v>
      </c>
      <c r="CM18" s="43"/>
      <c r="CN18" s="43"/>
      <c r="CO18" s="43">
        <v>555.36</v>
      </c>
      <c r="CP18" s="43"/>
      <c r="CQ18" s="43">
        <f t="shared" si="20"/>
        <v>400</v>
      </c>
      <c r="CR18" s="43">
        <f t="shared" si="20"/>
        <v>0</v>
      </c>
      <c r="CS18" s="43">
        <f t="shared" si="21"/>
        <v>400</v>
      </c>
      <c r="CT18" s="43">
        <f t="shared" si="21"/>
        <v>0</v>
      </c>
      <c r="CU18" s="43">
        <v>400</v>
      </c>
      <c r="CV18" s="43">
        <v>0</v>
      </c>
      <c r="CW18" s="43">
        <f t="shared" si="22"/>
        <v>100</v>
      </c>
      <c r="CX18" s="43">
        <f t="shared" si="22"/>
        <v>0</v>
      </c>
      <c r="CY18" s="43"/>
      <c r="CZ18" s="43"/>
      <c r="DA18" s="43">
        <f t="shared" si="23"/>
        <v>234</v>
      </c>
      <c r="DB18" s="43">
        <f t="shared" si="23"/>
        <v>0</v>
      </c>
      <c r="DC18" s="43">
        <v>234</v>
      </c>
      <c r="DD18" s="43">
        <v>0</v>
      </c>
      <c r="DE18" s="43">
        <f t="shared" si="24"/>
        <v>0</v>
      </c>
      <c r="DF18" s="43">
        <f t="shared" si="24"/>
        <v>0</v>
      </c>
      <c r="DG18" s="43">
        <f t="shared" si="56"/>
        <v>100</v>
      </c>
      <c r="DH18" s="43">
        <f t="shared" si="56"/>
        <v>0</v>
      </c>
      <c r="DI18" s="43">
        <f t="shared" si="57"/>
        <v>100</v>
      </c>
      <c r="DJ18" s="43">
        <f t="shared" si="57"/>
        <v>0</v>
      </c>
      <c r="DK18" s="43"/>
      <c r="DL18" s="43"/>
      <c r="DM18" s="43">
        <f t="shared" si="25"/>
        <v>334</v>
      </c>
      <c r="DN18" s="43">
        <f t="shared" si="25"/>
        <v>0</v>
      </c>
      <c r="DO18" s="94">
        <v>334</v>
      </c>
      <c r="DP18" s="94">
        <v>0</v>
      </c>
      <c r="DQ18" s="60">
        <f t="shared" si="26"/>
        <v>0</v>
      </c>
      <c r="DR18" s="60">
        <f t="shared" si="26"/>
        <v>0</v>
      </c>
      <c r="DS18" s="60">
        <f t="shared" si="27"/>
        <v>33.4</v>
      </c>
      <c r="DT18" s="60">
        <f t="shared" si="27"/>
        <v>0</v>
      </c>
      <c r="DU18" s="60">
        <f t="shared" si="28"/>
        <v>33.4</v>
      </c>
      <c r="DV18" s="60">
        <f t="shared" si="28"/>
        <v>0</v>
      </c>
      <c r="DW18" s="60"/>
      <c r="DX18" s="60"/>
      <c r="DY18" s="60">
        <f t="shared" si="29"/>
        <v>33.4</v>
      </c>
      <c r="DZ18" s="60">
        <f t="shared" si="29"/>
        <v>0</v>
      </c>
      <c r="EA18" s="60"/>
      <c r="EB18" s="60"/>
      <c r="EC18" s="43">
        <f t="shared" si="30"/>
        <v>367.4</v>
      </c>
      <c r="ED18" s="43">
        <f t="shared" si="30"/>
        <v>0</v>
      </c>
      <c r="EE18" s="43">
        <v>334</v>
      </c>
      <c r="EF18" s="43">
        <v>0</v>
      </c>
      <c r="EG18" s="43">
        <f t="shared" si="31"/>
        <v>90.91</v>
      </c>
      <c r="EH18" s="43" t="e">
        <f t="shared" si="31"/>
        <v>#DIV/0!</v>
      </c>
      <c r="EI18" s="43">
        <f t="shared" si="32"/>
        <v>33.4</v>
      </c>
      <c r="EJ18" s="43">
        <f t="shared" si="32"/>
        <v>0</v>
      </c>
      <c r="EK18" s="43">
        <f t="shared" si="33"/>
        <v>30.36</v>
      </c>
      <c r="EL18" s="43">
        <f t="shared" si="33"/>
        <v>0</v>
      </c>
      <c r="EM18" s="43">
        <f t="shared" si="34"/>
        <v>-3.0399999999999991</v>
      </c>
      <c r="EN18" s="43">
        <f t="shared" si="34"/>
        <v>0</v>
      </c>
      <c r="EO18" s="43"/>
      <c r="EP18" s="43">
        <v>0</v>
      </c>
      <c r="EQ18" s="5"/>
      <c r="ER18" s="5"/>
      <c r="ES18" s="5"/>
      <c r="ET18" s="5"/>
      <c r="EU18" s="5">
        <f t="shared" ref="EU18:EV20" si="61">+EW18-EC18-EO18</f>
        <v>32.600000000000023</v>
      </c>
      <c r="EV18" s="5">
        <f t="shared" si="61"/>
        <v>0</v>
      </c>
      <c r="EW18" s="5">
        <v>400</v>
      </c>
      <c r="EY18" s="5">
        <v>722.87</v>
      </c>
    </row>
    <row r="19" spans="1:158" ht="18.75" x14ac:dyDescent="0.25">
      <c r="A19" s="37">
        <v>11</v>
      </c>
      <c r="B19" s="37"/>
      <c r="C19" s="91" t="s">
        <v>122</v>
      </c>
      <c r="D19" s="38" t="s">
        <v>125</v>
      </c>
      <c r="E19" s="39"/>
      <c r="F19" s="40">
        <v>135.15</v>
      </c>
      <c r="G19" s="40">
        <v>0</v>
      </c>
      <c r="H19" s="40">
        <v>169.15</v>
      </c>
      <c r="I19" s="40">
        <v>0</v>
      </c>
      <c r="J19" s="41">
        <v>140</v>
      </c>
      <c r="K19" s="41">
        <v>0</v>
      </c>
      <c r="L19" s="41">
        <v>0</v>
      </c>
      <c r="M19" s="41">
        <f t="shared" ref="M19:M35" si="62">J19+K19+L19</f>
        <v>140</v>
      </c>
      <c r="N19" s="41">
        <v>46.48</v>
      </c>
      <c r="O19" s="41">
        <v>0</v>
      </c>
      <c r="P19" s="41">
        <v>0</v>
      </c>
      <c r="Q19" s="41">
        <f t="shared" si="58"/>
        <v>46.48</v>
      </c>
      <c r="R19" s="41">
        <f t="shared" si="59"/>
        <v>186.48</v>
      </c>
      <c r="S19" s="41">
        <v>0</v>
      </c>
      <c r="T19" s="92"/>
      <c r="U19" s="92"/>
      <c r="V19" s="40">
        <f t="shared" ref="V19:V23" si="63">ROUND(H19*1.0583,2)</f>
        <v>179.01</v>
      </c>
      <c r="W19" s="40">
        <f t="shared" ref="W19:W23" si="64">ROUND(I19*1.0327,2)</f>
        <v>0</v>
      </c>
      <c r="X19" s="43">
        <f t="shared" si="2"/>
        <v>7.4699999999999989</v>
      </c>
      <c r="Y19" s="43">
        <f t="shared" si="2"/>
        <v>0</v>
      </c>
      <c r="Z19" s="43">
        <v>139.01</v>
      </c>
      <c r="AA19" s="43">
        <v>40</v>
      </c>
      <c r="AB19" s="43">
        <f t="shared" si="3"/>
        <v>179.01</v>
      </c>
      <c r="AC19" s="43">
        <f t="shared" si="4"/>
        <v>0</v>
      </c>
      <c r="AD19" s="43">
        <f t="shared" ref="AD19:AE23" si="65">IF(X19&gt;0,V19,R19)</f>
        <v>179.01</v>
      </c>
      <c r="AE19" s="43">
        <f t="shared" si="65"/>
        <v>0</v>
      </c>
      <c r="AF19" s="43">
        <f t="shared" si="5"/>
        <v>0</v>
      </c>
      <c r="AG19" s="43">
        <f t="shared" si="6"/>
        <v>45</v>
      </c>
      <c r="AH19" s="43">
        <f t="shared" si="6"/>
        <v>0</v>
      </c>
      <c r="AI19" s="93">
        <f t="shared" si="7"/>
        <v>15</v>
      </c>
      <c r="AJ19" s="43">
        <f t="shared" si="7"/>
        <v>0</v>
      </c>
      <c r="AK19" s="43"/>
      <c r="AL19" s="43"/>
      <c r="AM19" s="43">
        <f t="shared" si="8"/>
        <v>44.75</v>
      </c>
      <c r="AN19" s="43">
        <f t="shared" si="9"/>
        <v>0</v>
      </c>
      <c r="AO19" s="43"/>
      <c r="AP19" s="43"/>
      <c r="AQ19" s="43">
        <f t="shared" si="10"/>
        <v>89.75</v>
      </c>
      <c r="AR19" s="43">
        <f t="shared" si="10"/>
        <v>0</v>
      </c>
      <c r="AS19" s="43"/>
      <c r="AT19" s="43"/>
      <c r="AU19" s="43">
        <f t="shared" si="0"/>
        <v>44.75</v>
      </c>
      <c r="AV19" s="43">
        <f t="shared" si="0"/>
        <v>0</v>
      </c>
      <c r="AW19" s="43"/>
      <c r="AX19" s="43"/>
      <c r="AY19" s="43">
        <f t="shared" si="11"/>
        <v>149.5</v>
      </c>
      <c r="AZ19" s="43">
        <f t="shared" si="11"/>
        <v>0</v>
      </c>
      <c r="BA19" s="43">
        <f t="shared" si="12"/>
        <v>149.5</v>
      </c>
      <c r="BB19" s="60">
        <v>149.5</v>
      </c>
      <c r="BC19" s="60"/>
      <c r="BD19" s="60">
        <f t="shared" si="13"/>
        <v>0</v>
      </c>
      <c r="BE19" s="60">
        <f t="shared" si="13"/>
        <v>0</v>
      </c>
      <c r="BF19" s="60">
        <f t="shared" si="14"/>
        <v>29.9</v>
      </c>
      <c r="BG19" s="60">
        <f t="shared" si="14"/>
        <v>0</v>
      </c>
      <c r="BH19" s="43">
        <v>14.95</v>
      </c>
      <c r="BI19" s="43">
        <v>0</v>
      </c>
      <c r="BJ19" s="43"/>
      <c r="BK19" s="43"/>
      <c r="BL19" s="43">
        <f t="shared" si="1"/>
        <v>164.45</v>
      </c>
      <c r="BM19" s="43">
        <f t="shared" si="1"/>
        <v>0</v>
      </c>
      <c r="BN19" s="43">
        <f t="shared" si="15"/>
        <v>164.45</v>
      </c>
      <c r="BO19" s="43">
        <v>149.5</v>
      </c>
      <c r="BP19" s="93"/>
      <c r="BQ19" s="43">
        <f t="shared" si="16"/>
        <v>14.949999999999989</v>
      </c>
      <c r="BR19" s="43">
        <f t="shared" si="16"/>
        <v>0</v>
      </c>
      <c r="BS19" s="43">
        <f t="shared" si="17"/>
        <v>13.59</v>
      </c>
      <c r="BT19" s="43">
        <f t="shared" si="17"/>
        <v>0</v>
      </c>
      <c r="BU19" s="43">
        <f>ROUND(BS19-BQ19,2)+1.36</f>
        <v>0</v>
      </c>
      <c r="BV19" s="43">
        <f t="shared" si="60"/>
        <v>0</v>
      </c>
      <c r="BW19" s="43">
        <v>40</v>
      </c>
      <c r="BX19" s="43"/>
      <c r="BY19" s="43"/>
      <c r="BZ19" s="43"/>
      <c r="CA19" s="43">
        <v>204.45</v>
      </c>
      <c r="CB19" s="43">
        <v>0</v>
      </c>
      <c r="CC19" s="92">
        <v>224.9</v>
      </c>
      <c r="CD19" s="92">
        <v>0</v>
      </c>
      <c r="CE19" s="92">
        <v>19</v>
      </c>
      <c r="CF19" s="92">
        <v>0</v>
      </c>
      <c r="CG19" s="92">
        <f t="shared" si="19"/>
        <v>51.11</v>
      </c>
      <c r="CH19" s="92">
        <f t="shared" si="19"/>
        <v>0</v>
      </c>
      <c r="CI19" s="43"/>
      <c r="CJ19" s="43"/>
      <c r="CK19" s="43">
        <v>55</v>
      </c>
      <c r="CL19" s="43">
        <v>0</v>
      </c>
      <c r="CM19" s="43"/>
      <c r="CN19" s="43"/>
      <c r="CO19" s="43">
        <v>198</v>
      </c>
      <c r="CP19" s="43"/>
      <c r="CQ19" s="43">
        <f t="shared" si="20"/>
        <v>220</v>
      </c>
      <c r="CR19" s="43">
        <f t="shared" si="20"/>
        <v>0</v>
      </c>
      <c r="CS19" s="43">
        <f t="shared" si="21"/>
        <v>198</v>
      </c>
      <c r="CT19" s="43">
        <f t="shared" si="21"/>
        <v>0</v>
      </c>
      <c r="CU19" s="43">
        <f>198+91.41</f>
        <v>289.40999999999997</v>
      </c>
      <c r="CV19" s="43">
        <v>0</v>
      </c>
      <c r="CW19" s="43">
        <f>ROUND(CU19*25%,2)-22.85</f>
        <v>49.499999999999993</v>
      </c>
      <c r="CX19" s="43">
        <f t="shared" si="22"/>
        <v>0</v>
      </c>
      <c r="CY19" s="43"/>
      <c r="CZ19" s="43"/>
      <c r="DA19" s="43">
        <f t="shared" si="23"/>
        <v>123.5</v>
      </c>
      <c r="DB19" s="43">
        <f t="shared" si="23"/>
        <v>0</v>
      </c>
      <c r="DC19" s="43">
        <v>123.5</v>
      </c>
      <c r="DD19" s="43">
        <v>0</v>
      </c>
      <c r="DE19" s="43">
        <f t="shared" si="24"/>
        <v>0</v>
      </c>
      <c r="DF19" s="43">
        <f t="shared" si="24"/>
        <v>0</v>
      </c>
      <c r="DG19" s="43">
        <f t="shared" si="56"/>
        <v>72.349999999999994</v>
      </c>
      <c r="DH19" s="43">
        <f t="shared" si="56"/>
        <v>0</v>
      </c>
      <c r="DI19" s="43">
        <f t="shared" si="57"/>
        <v>72.349999999999994</v>
      </c>
      <c r="DJ19" s="43">
        <f t="shared" si="57"/>
        <v>0</v>
      </c>
      <c r="DK19" s="43"/>
      <c r="DL19" s="43"/>
      <c r="DM19" s="43">
        <f t="shared" si="25"/>
        <v>195.85</v>
      </c>
      <c r="DN19" s="43">
        <f t="shared" si="25"/>
        <v>0</v>
      </c>
      <c r="DO19" s="94">
        <v>195.85</v>
      </c>
      <c r="DP19" s="94">
        <v>0</v>
      </c>
      <c r="DQ19" s="60">
        <f t="shared" si="26"/>
        <v>0</v>
      </c>
      <c r="DR19" s="60">
        <f t="shared" si="26"/>
        <v>0</v>
      </c>
      <c r="DS19" s="60">
        <f t="shared" si="27"/>
        <v>19.585000000000001</v>
      </c>
      <c r="DT19" s="60">
        <f t="shared" si="27"/>
        <v>0</v>
      </c>
      <c r="DU19" s="60">
        <f t="shared" si="28"/>
        <v>19.585000000000001</v>
      </c>
      <c r="DV19" s="60">
        <f t="shared" si="28"/>
        <v>0</v>
      </c>
      <c r="DW19" s="60"/>
      <c r="DX19" s="60"/>
      <c r="DY19" s="60">
        <f t="shared" si="29"/>
        <v>19.59</v>
      </c>
      <c r="DZ19" s="60">
        <f t="shared" si="29"/>
        <v>0</v>
      </c>
      <c r="EA19" s="60"/>
      <c r="EB19" s="60"/>
      <c r="EC19" s="43">
        <f t="shared" si="30"/>
        <v>215.44</v>
      </c>
      <c r="ED19" s="43">
        <f t="shared" si="30"/>
        <v>0</v>
      </c>
      <c r="EE19" s="43">
        <v>215.44</v>
      </c>
      <c r="EF19" s="43">
        <v>0</v>
      </c>
      <c r="EG19" s="43">
        <f t="shared" si="31"/>
        <v>100</v>
      </c>
      <c r="EH19" s="43" t="e">
        <f t="shared" si="31"/>
        <v>#DIV/0!</v>
      </c>
      <c r="EI19" s="43">
        <f t="shared" si="32"/>
        <v>0</v>
      </c>
      <c r="EJ19" s="43">
        <f t="shared" si="32"/>
        <v>0</v>
      </c>
      <c r="EK19" s="43">
        <f t="shared" si="33"/>
        <v>19.59</v>
      </c>
      <c r="EL19" s="43">
        <f t="shared" si="33"/>
        <v>0</v>
      </c>
      <c r="EM19" s="43">
        <f t="shared" si="34"/>
        <v>19.59</v>
      </c>
      <c r="EN19" s="43">
        <f t="shared" si="34"/>
        <v>0</v>
      </c>
      <c r="EO19" s="43"/>
      <c r="EP19" s="43">
        <v>0</v>
      </c>
      <c r="EQ19" s="5"/>
      <c r="ER19" s="5"/>
      <c r="ES19" s="5"/>
      <c r="ET19" s="5"/>
      <c r="EU19" s="5">
        <f t="shared" si="61"/>
        <v>73.96999999999997</v>
      </c>
      <c r="EV19" s="5">
        <f t="shared" si="61"/>
        <v>0</v>
      </c>
      <c r="EW19" s="5">
        <f>58.15+231.26</f>
        <v>289.40999999999997</v>
      </c>
      <c r="EY19" s="55">
        <f>29+199</f>
        <v>228</v>
      </c>
    </row>
    <row r="20" spans="1:158" ht="18.75" x14ac:dyDescent="0.25">
      <c r="A20" s="37">
        <v>12</v>
      </c>
      <c r="B20" s="37"/>
      <c r="C20" s="91" t="s">
        <v>122</v>
      </c>
      <c r="D20" s="38" t="s">
        <v>126</v>
      </c>
      <c r="E20" s="39"/>
      <c r="F20" s="40">
        <v>0</v>
      </c>
      <c r="G20" s="40">
        <v>0</v>
      </c>
      <c r="H20" s="40">
        <v>0</v>
      </c>
      <c r="I20" s="40">
        <v>0</v>
      </c>
      <c r="J20" s="41">
        <v>0</v>
      </c>
      <c r="K20" s="41">
        <v>0</v>
      </c>
      <c r="L20" s="41">
        <v>0</v>
      </c>
      <c r="M20" s="41">
        <f t="shared" si="62"/>
        <v>0</v>
      </c>
      <c r="N20" s="41">
        <v>0</v>
      </c>
      <c r="O20" s="41">
        <v>0</v>
      </c>
      <c r="P20" s="41">
        <v>0</v>
      </c>
      <c r="Q20" s="41">
        <f t="shared" si="58"/>
        <v>0</v>
      </c>
      <c r="R20" s="41">
        <f t="shared" si="59"/>
        <v>0</v>
      </c>
      <c r="S20" s="41">
        <v>0</v>
      </c>
      <c r="T20" s="92"/>
      <c r="U20" s="92"/>
      <c r="V20" s="40">
        <f t="shared" si="63"/>
        <v>0</v>
      </c>
      <c r="W20" s="40">
        <f t="shared" si="64"/>
        <v>0</v>
      </c>
      <c r="X20" s="43">
        <f t="shared" si="2"/>
        <v>0</v>
      </c>
      <c r="Y20" s="43">
        <f t="shared" si="2"/>
        <v>0</v>
      </c>
      <c r="Z20" s="43">
        <v>0</v>
      </c>
      <c r="AA20" s="43"/>
      <c r="AB20" s="43">
        <f t="shared" si="3"/>
        <v>0</v>
      </c>
      <c r="AC20" s="43">
        <f t="shared" si="4"/>
        <v>0</v>
      </c>
      <c r="AD20" s="43">
        <f t="shared" si="65"/>
        <v>0</v>
      </c>
      <c r="AE20" s="43">
        <f t="shared" si="65"/>
        <v>0</v>
      </c>
      <c r="AF20" s="43">
        <f t="shared" si="5"/>
        <v>0</v>
      </c>
      <c r="AG20" s="43">
        <f t="shared" si="6"/>
        <v>0</v>
      </c>
      <c r="AH20" s="43">
        <f t="shared" si="6"/>
        <v>0</v>
      </c>
      <c r="AI20" s="93">
        <f t="shared" si="7"/>
        <v>0</v>
      </c>
      <c r="AJ20" s="43">
        <f t="shared" si="7"/>
        <v>0</v>
      </c>
      <c r="AK20" s="43"/>
      <c r="AL20" s="43"/>
      <c r="AM20" s="43">
        <f t="shared" si="8"/>
        <v>0</v>
      </c>
      <c r="AN20" s="43">
        <f t="shared" si="9"/>
        <v>0</v>
      </c>
      <c r="AO20" s="43"/>
      <c r="AP20" s="43"/>
      <c r="AQ20" s="43">
        <f t="shared" si="10"/>
        <v>0</v>
      </c>
      <c r="AR20" s="43">
        <f t="shared" si="10"/>
        <v>0</v>
      </c>
      <c r="AS20" s="43"/>
      <c r="AT20" s="43"/>
      <c r="AU20" s="43">
        <f t="shared" si="0"/>
        <v>0</v>
      </c>
      <c r="AV20" s="43">
        <f t="shared" si="0"/>
        <v>0</v>
      </c>
      <c r="AW20" s="43"/>
      <c r="AX20" s="43"/>
      <c r="AY20" s="43">
        <f t="shared" si="11"/>
        <v>0</v>
      </c>
      <c r="AZ20" s="43">
        <f t="shared" si="11"/>
        <v>0</v>
      </c>
      <c r="BA20" s="43">
        <f t="shared" si="12"/>
        <v>0</v>
      </c>
      <c r="BB20" s="60">
        <v>0</v>
      </c>
      <c r="BC20" s="60"/>
      <c r="BD20" s="60">
        <f t="shared" si="13"/>
        <v>0</v>
      </c>
      <c r="BE20" s="60">
        <f t="shared" si="13"/>
        <v>0</v>
      </c>
      <c r="BF20" s="60">
        <f t="shared" si="14"/>
        <v>0</v>
      </c>
      <c r="BG20" s="60">
        <f t="shared" si="14"/>
        <v>0</v>
      </c>
      <c r="BH20" s="43">
        <v>0</v>
      </c>
      <c r="BI20" s="43">
        <v>0</v>
      </c>
      <c r="BJ20" s="43"/>
      <c r="BK20" s="43"/>
      <c r="BL20" s="43">
        <f t="shared" si="1"/>
        <v>0</v>
      </c>
      <c r="BM20" s="43">
        <f t="shared" si="1"/>
        <v>0</v>
      </c>
      <c r="BN20" s="43">
        <f t="shared" si="15"/>
        <v>0</v>
      </c>
      <c r="BO20" s="43"/>
      <c r="BP20" s="93"/>
      <c r="BQ20" s="43">
        <f t="shared" si="16"/>
        <v>0</v>
      </c>
      <c r="BR20" s="43">
        <f t="shared" si="16"/>
        <v>0</v>
      </c>
      <c r="BS20" s="43">
        <f t="shared" si="17"/>
        <v>0</v>
      </c>
      <c r="BT20" s="43">
        <f t="shared" si="17"/>
        <v>0</v>
      </c>
      <c r="BU20" s="43">
        <f t="shared" si="60"/>
        <v>0</v>
      </c>
      <c r="BV20" s="43">
        <f t="shared" si="60"/>
        <v>0</v>
      </c>
      <c r="BW20" s="43"/>
      <c r="BX20" s="43"/>
      <c r="BY20" s="43"/>
      <c r="BZ20" s="43"/>
      <c r="CA20" s="43">
        <v>0</v>
      </c>
      <c r="CB20" s="43">
        <v>0</v>
      </c>
      <c r="CC20" s="92">
        <v>0</v>
      </c>
      <c r="CD20" s="92">
        <v>0</v>
      </c>
      <c r="CE20" s="92">
        <v>0</v>
      </c>
      <c r="CF20" s="92">
        <v>0</v>
      </c>
      <c r="CG20" s="92">
        <f t="shared" si="19"/>
        <v>0</v>
      </c>
      <c r="CH20" s="92">
        <f t="shared" si="19"/>
        <v>0</v>
      </c>
      <c r="CI20" s="43"/>
      <c r="CJ20" s="43"/>
      <c r="CK20" s="43">
        <v>0</v>
      </c>
      <c r="CL20" s="43">
        <v>0</v>
      </c>
      <c r="CM20" s="43"/>
      <c r="CN20" s="43"/>
      <c r="CO20" s="43"/>
      <c r="CP20" s="43"/>
      <c r="CQ20" s="43">
        <f t="shared" si="20"/>
        <v>0</v>
      </c>
      <c r="CR20" s="43">
        <f t="shared" si="20"/>
        <v>0</v>
      </c>
      <c r="CS20" s="43">
        <f t="shared" si="21"/>
        <v>0</v>
      </c>
      <c r="CT20" s="43">
        <f t="shared" si="21"/>
        <v>0</v>
      </c>
      <c r="CU20" s="43">
        <v>0</v>
      </c>
      <c r="CV20" s="43">
        <v>0</v>
      </c>
      <c r="CW20" s="43">
        <f t="shared" si="22"/>
        <v>0</v>
      </c>
      <c r="CX20" s="43">
        <f t="shared" si="22"/>
        <v>0</v>
      </c>
      <c r="CY20" s="43"/>
      <c r="CZ20" s="43"/>
      <c r="DA20" s="43">
        <f t="shared" si="23"/>
        <v>0</v>
      </c>
      <c r="DB20" s="43">
        <f t="shared" si="23"/>
        <v>0</v>
      </c>
      <c r="DC20" s="43">
        <v>0</v>
      </c>
      <c r="DD20" s="43">
        <v>0</v>
      </c>
      <c r="DE20" s="43">
        <f t="shared" si="24"/>
        <v>0</v>
      </c>
      <c r="DF20" s="43">
        <f t="shared" si="24"/>
        <v>0</v>
      </c>
      <c r="DG20" s="43">
        <f t="shared" si="56"/>
        <v>0</v>
      </c>
      <c r="DH20" s="43">
        <f t="shared" si="56"/>
        <v>0</v>
      </c>
      <c r="DI20" s="43">
        <f t="shared" si="57"/>
        <v>0</v>
      </c>
      <c r="DJ20" s="43">
        <f t="shared" si="57"/>
        <v>0</v>
      </c>
      <c r="DK20" s="43"/>
      <c r="DL20" s="43"/>
      <c r="DM20" s="43">
        <f t="shared" si="25"/>
        <v>0</v>
      </c>
      <c r="DN20" s="43">
        <f t="shared" si="25"/>
        <v>0</v>
      </c>
      <c r="DO20" s="94">
        <v>0</v>
      </c>
      <c r="DP20" s="94">
        <v>0</v>
      </c>
      <c r="DQ20" s="60">
        <f t="shared" si="26"/>
        <v>0</v>
      </c>
      <c r="DR20" s="60">
        <f t="shared" si="26"/>
        <v>0</v>
      </c>
      <c r="DS20" s="60">
        <f t="shared" si="27"/>
        <v>0</v>
      </c>
      <c r="DT20" s="60">
        <f t="shared" si="27"/>
        <v>0</v>
      </c>
      <c r="DU20" s="60">
        <f t="shared" si="28"/>
        <v>0</v>
      </c>
      <c r="DV20" s="60">
        <f t="shared" si="28"/>
        <v>0</v>
      </c>
      <c r="DW20" s="60"/>
      <c r="DX20" s="60"/>
      <c r="DY20" s="60">
        <f t="shared" si="29"/>
        <v>0</v>
      </c>
      <c r="DZ20" s="60">
        <f t="shared" si="29"/>
        <v>0</v>
      </c>
      <c r="EA20" s="60"/>
      <c r="EB20" s="60"/>
      <c r="EC20" s="43">
        <f t="shared" si="30"/>
        <v>0</v>
      </c>
      <c r="ED20" s="43">
        <f t="shared" si="30"/>
        <v>0</v>
      </c>
      <c r="EE20" s="43"/>
      <c r="EF20" s="43"/>
      <c r="EG20" s="43" t="e">
        <f t="shared" si="31"/>
        <v>#DIV/0!</v>
      </c>
      <c r="EH20" s="43" t="e">
        <f t="shared" si="31"/>
        <v>#DIV/0!</v>
      </c>
      <c r="EI20" s="43">
        <f t="shared" si="32"/>
        <v>0</v>
      </c>
      <c r="EJ20" s="43">
        <f t="shared" si="32"/>
        <v>0</v>
      </c>
      <c r="EK20" s="43">
        <f t="shared" si="33"/>
        <v>0</v>
      </c>
      <c r="EL20" s="43">
        <f t="shared" si="33"/>
        <v>0</v>
      </c>
      <c r="EM20" s="43">
        <f t="shared" si="34"/>
        <v>0</v>
      </c>
      <c r="EN20" s="43">
        <f t="shared" si="34"/>
        <v>0</v>
      </c>
      <c r="EO20" s="43"/>
      <c r="EP20" s="43">
        <v>0</v>
      </c>
      <c r="EQ20" s="5"/>
      <c r="ER20" s="5"/>
      <c r="ES20" s="5"/>
      <c r="ET20" s="5"/>
      <c r="EU20" s="5">
        <f t="shared" si="61"/>
        <v>0</v>
      </c>
      <c r="EV20" s="5">
        <f t="shared" si="61"/>
        <v>0</v>
      </c>
    </row>
    <row r="21" spans="1:158" ht="18.75" x14ac:dyDescent="0.25">
      <c r="A21" s="37">
        <v>13</v>
      </c>
      <c r="B21" s="37"/>
      <c r="C21" s="91" t="s">
        <v>122</v>
      </c>
      <c r="D21" s="38" t="s">
        <v>127</v>
      </c>
      <c r="E21" s="39"/>
      <c r="F21" s="40">
        <v>0</v>
      </c>
      <c r="G21" s="40">
        <v>0</v>
      </c>
      <c r="H21" s="40">
        <v>0</v>
      </c>
      <c r="I21" s="40">
        <v>0</v>
      </c>
      <c r="J21" s="41">
        <v>0</v>
      </c>
      <c r="K21" s="41">
        <v>0</v>
      </c>
      <c r="L21" s="41">
        <v>0</v>
      </c>
      <c r="M21" s="41">
        <f t="shared" si="62"/>
        <v>0</v>
      </c>
      <c r="N21" s="41">
        <v>0</v>
      </c>
      <c r="O21" s="41">
        <v>0</v>
      </c>
      <c r="P21" s="41">
        <v>0</v>
      </c>
      <c r="Q21" s="41">
        <f t="shared" si="58"/>
        <v>0</v>
      </c>
      <c r="R21" s="41">
        <f t="shared" si="59"/>
        <v>0</v>
      </c>
      <c r="S21" s="41">
        <v>0</v>
      </c>
      <c r="T21" s="92"/>
      <c r="U21" s="92"/>
      <c r="V21" s="40">
        <f t="shared" si="63"/>
        <v>0</v>
      </c>
      <c r="W21" s="40">
        <f t="shared" si="64"/>
        <v>0</v>
      </c>
      <c r="X21" s="43">
        <f t="shared" si="2"/>
        <v>0</v>
      </c>
      <c r="Y21" s="43">
        <f t="shared" si="2"/>
        <v>0</v>
      </c>
      <c r="Z21" s="43">
        <v>0</v>
      </c>
      <c r="AA21" s="43"/>
      <c r="AB21" s="43">
        <f t="shared" si="3"/>
        <v>0</v>
      </c>
      <c r="AC21" s="43">
        <f t="shared" si="4"/>
        <v>0</v>
      </c>
      <c r="AD21" s="43">
        <f t="shared" si="65"/>
        <v>0</v>
      </c>
      <c r="AE21" s="43">
        <f t="shared" si="65"/>
        <v>0</v>
      </c>
      <c r="AF21" s="43">
        <f t="shared" si="5"/>
        <v>0</v>
      </c>
      <c r="AG21" s="43">
        <f t="shared" si="6"/>
        <v>0</v>
      </c>
      <c r="AH21" s="43">
        <f t="shared" si="6"/>
        <v>0</v>
      </c>
      <c r="AI21" s="93">
        <f t="shared" si="7"/>
        <v>0</v>
      </c>
      <c r="AJ21" s="43">
        <f t="shared" si="7"/>
        <v>0</v>
      </c>
      <c r="AK21" s="43"/>
      <c r="AL21" s="43"/>
      <c r="AM21" s="43">
        <f t="shared" si="8"/>
        <v>0</v>
      </c>
      <c r="AN21" s="43">
        <f t="shared" si="9"/>
        <v>0</v>
      </c>
      <c r="AO21" s="43"/>
      <c r="AP21" s="43"/>
      <c r="AQ21" s="43">
        <f t="shared" si="10"/>
        <v>0</v>
      </c>
      <c r="AR21" s="43">
        <f t="shared" si="10"/>
        <v>0</v>
      </c>
      <c r="AS21" s="43"/>
      <c r="AT21" s="43"/>
      <c r="AU21" s="43">
        <f t="shared" si="0"/>
        <v>0</v>
      </c>
      <c r="AV21" s="43">
        <f t="shared" si="0"/>
        <v>0</v>
      </c>
      <c r="AW21" s="43"/>
      <c r="AX21" s="43"/>
      <c r="AY21" s="43">
        <f t="shared" si="11"/>
        <v>0</v>
      </c>
      <c r="AZ21" s="43">
        <f t="shared" si="11"/>
        <v>0</v>
      </c>
      <c r="BA21" s="43">
        <f t="shared" si="12"/>
        <v>0</v>
      </c>
      <c r="BB21" s="60">
        <v>0</v>
      </c>
      <c r="BC21" s="60"/>
      <c r="BD21" s="60">
        <f t="shared" si="13"/>
        <v>0</v>
      </c>
      <c r="BE21" s="60">
        <f t="shared" si="13"/>
        <v>0</v>
      </c>
      <c r="BF21" s="60">
        <f t="shared" si="14"/>
        <v>0</v>
      </c>
      <c r="BG21" s="60">
        <f t="shared" si="14"/>
        <v>0</v>
      </c>
      <c r="BH21" s="43">
        <v>0</v>
      </c>
      <c r="BI21" s="43">
        <v>0</v>
      </c>
      <c r="BJ21" s="43"/>
      <c r="BK21" s="43"/>
      <c r="BL21" s="43">
        <f t="shared" si="1"/>
        <v>0</v>
      </c>
      <c r="BM21" s="43">
        <f t="shared" si="1"/>
        <v>0</v>
      </c>
      <c r="BN21" s="43">
        <f t="shared" si="15"/>
        <v>0</v>
      </c>
      <c r="BO21" s="43"/>
      <c r="BP21" s="93"/>
      <c r="BQ21" s="43">
        <f t="shared" si="16"/>
        <v>0</v>
      </c>
      <c r="BR21" s="43">
        <f t="shared" si="16"/>
        <v>0</v>
      </c>
      <c r="BS21" s="43">
        <f t="shared" si="17"/>
        <v>0</v>
      </c>
      <c r="BT21" s="43">
        <f t="shared" si="17"/>
        <v>0</v>
      </c>
      <c r="BU21" s="43">
        <f t="shared" si="60"/>
        <v>0</v>
      </c>
      <c r="BV21" s="43">
        <f t="shared" si="60"/>
        <v>0</v>
      </c>
      <c r="BW21" s="43"/>
      <c r="BX21" s="43"/>
      <c r="BY21" s="43"/>
      <c r="BZ21" s="43"/>
      <c r="CA21" s="43">
        <v>0</v>
      </c>
      <c r="CB21" s="43">
        <v>0</v>
      </c>
      <c r="CC21" s="92">
        <v>0</v>
      </c>
      <c r="CD21" s="92">
        <v>0</v>
      </c>
      <c r="CE21" s="92">
        <v>0</v>
      </c>
      <c r="CF21" s="92">
        <v>0</v>
      </c>
      <c r="CG21" s="92">
        <f t="shared" si="19"/>
        <v>0</v>
      </c>
      <c r="CH21" s="92">
        <f t="shared" si="19"/>
        <v>0</v>
      </c>
      <c r="CI21" s="43"/>
      <c r="CJ21" s="43"/>
      <c r="CK21" s="43">
        <v>0</v>
      </c>
      <c r="CL21" s="43">
        <v>0</v>
      </c>
      <c r="CM21" s="43"/>
      <c r="CN21" s="43"/>
      <c r="CO21" s="43"/>
      <c r="CP21" s="43"/>
      <c r="CQ21" s="43">
        <f t="shared" si="20"/>
        <v>0</v>
      </c>
      <c r="CR21" s="43">
        <f t="shared" si="20"/>
        <v>0</v>
      </c>
      <c r="CS21" s="43">
        <f t="shared" si="21"/>
        <v>0</v>
      </c>
      <c r="CT21" s="43">
        <f t="shared" si="21"/>
        <v>0</v>
      </c>
      <c r="CU21" s="43">
        <v>0</v>
      </c>
      <c r="CV21" s="43">
        <v>0</v>
      </c>
      <c r="CW21" s="43">
        <f t="shared" si="22"/>
        <v>0</v>
      </c>
      <c r="CX21" s="43">
        <f t="shared" si="22"/>
        <v>0</v>
      </c>
      <c r="CY21" s="43"/>
      <c r="CZ21" s="43"/>
      <c r="DA21" s="43">
        <f t="shared" si="23"/>
        <v>0</v>
      </c>
      <c r="DB21" s="43">
        <f t="shared" si="23"/>
        <v>0</v>
      </c>
      <c r="DC21" s="43">
        <v>0</v>
      </c>
      <c r="DD21" s="43">
        <v>0</v>
      </c>
      <c r="DE21" s="43">
        <f t="shared" si="24"/>
        <v>0</v>
      </c>
      <c r="DF21" s="43">
        <f t="shared" si="24"/>
        <v>0</v>
      </c>
      <c r="DG21" s="43">
        <f t="shared" si="56"/>
        <v>0</v>
      </c>
      <c r="DH21" s="43">
        <f t="shared" si="56"/>
        <v>0</v>
      </c>
      <c r="DI21" s="43">
        <f t="shared" si="57"/>
        <v>0</v>
      </c>
      <c r="DJ21" s="43">
        <f t="shared" si="57"/>
        <v>0</v>
      </c>
      <c r="DK21" s="43"/>
      <c r="DL21" s="43"/>
      <c r="DM21" s="43">
        <f t="shared" si="25"/>
        <v>0</v>
      </c>
      <c r="DN21" s="43">
        <f t="shared" si="25"/>
        <v>0</v>
      </c>
      <c r="DO21" s="94">
        <v>0</v>
      </c>
      <c r="DP21" s="94">
        <v>0</v>
      </c>
      <c r="DQ21" s="60">
        <f t="shared" si="26"/>
        <v>0</v>
      </c>
      <c r="DR21" s="60">
        <f t="shared" si="26"/>
        <v>0</v>
      </c>
      <c r="DS21" s="60">
        <f t="shared" si="27"/>
        <v>0</v>
      </c>
      <c r="DT21" s="60">
        <f t="shared" si="27"/>
        <v>0</v>
      </c>
      <c r="DU21" s="60">
        <f t="shared" si="28"/>
        <v>0</v>
      </c>
      <c r="DV21" s="60">
        <f t="shared" si="28"/>
        <v>0</v>
      </c>
      <c r="DW21" s="60"/>
      <c r="DX21" s="60"/>
      <c r="DY21" s="60">
        <f t="shared" si="29"/>
        <v>0</v>
      </c>
      <c r="DZ21" s="60">
        <f t="shared" si="29"/>
        <v>0</v>
      </c>
      <c r="EA21" s="60"/>
      <c r="EB21" s="60"/>
      <c r="EC21" s="43">
        <f t="shared" si="30"/>
        <v>0</v>
      </c>
      <c r="ED21" s="43">
        <f t="shared" si="30"/>
        <v>0</v>
      </c>
      <c r="EE21" s="43"/>
      <c r="EF21" s="43"/>
      <c r="EG21" s="43" t="e">
        <f t="shared" si="31"/>
        <v>#DIV/0!</v>
      </c>
      <c r="EH21" s="43" t="e">
        <f t="shared" si="31"/>
        <v>#DIV/0!</v>
      </c>
      <c r="EI21" s="43">
        <f t="shared" si="32"/>
        <v>0</v>
      </c>
      <c r="EJ21" s="43">
        <f t="shared" si="32"/>
        <v>0</v>
      </c>
      <c r="EK21" s="43">
        <f t="shared" si="33"/>
        <v>0</v>
      </c>
      <c r="EL21" s="43">
        <f t="shared" si="33"/>
        <v>0</v>
      </c>
      <c r="EM21" s="43">
        <f t="shared" si="34"/>
        <v>0</v>
      </c>
      <c r="EN21" s="43">
        <f t="shared" si="34"/>
        <v>0</v>
      </c>
      <c r="EO21" s="43"/>
      <c r="EP21" s="43">
        <v>0</v>
      </c>
      <c r="EQ21" s="5"/>
      <c r="ER21" s="5"/>
      <c r="ES21" s="5"/>
      <c r="ET21" s="5"/>
      <c r="EU21" s="5">
        <f>+EW21-EC21-EO21</f>
        <v>0</v>
      </c>
      <c r="EV21" s="5">
        <f>+EX21-ED21-EP21</f>
        <v>0</v>
      </c>
    </row>
    <row r="22" spans="1:158" ht="18.75" x14ac:dyDescent="0.25">
      <c r="A22" s="37">
        <v>49</v>
      </c>
      <c r="B22" s="37"/>
      <c r="C22" s="91" t="s">
        <v>122</v>
      </c>
      <c r="D22" s="38" t="s">
        <v>128</v>
      </c>
      <c r="E22" s="39"/>
      <c r="F22" s="40">
        <v>329.84</v>
      </c>
      <c r="G22" s="40">
        <v>0</v>
      </c>
      <c r="H22" s="40">
        <v>329.84</v>
      </c>
      <c r="I22" s="40">
        <v>0</v>
      </c>
      <c r="J22" s="41">
        <v>351.34</v>
      </c>
      <c r="K22" s="41">
        <v>0</v>
      </c>
      <c r="L22" s="41">
        <v>0</v>
      </c>
      <c r="M22" s="41">
        <f t="shared" si="62"/>
        <v>351.34</v>
      </c>
      <c r="N22" s="41">
        <v>80</v>
      </c>
      <c r="O22" s="41">
        <v>0</v>
      </c>
      <c r="P22" s="41">
        <v>0</v>
      </c>
      <c r="Q22" s="41">
        <f t="shared" si="58"/>
        <v>80</v>
      </c>
      <c r="R22" s="41">
        <f t="shared" si="59"/>
        <v>431.34</v>
      </c>
      <c r="S22" s="41">
        <v>0</v>
      </c>
      <c r="T22" s="92"/>
      <c r="U22" s="92"/>
      <c r="V22" s="40">
        <f t="shared" si="63"/>
        <v>349.07</v>
      </c>
      <c r="W22" s="40">
        <f t="shared" si="64"/>
        <v>0</v>
      </c>
      <c r="X22" s="43">
        <f t="shared" si="2"/>
        <v>82.269999999999982</v>
      </c>
      <c r="Y22" s="43">
        <f t="shared" si="2"/>
        <v>0</v>
      </c>
      <c r="Z22" s="43">
        <v>289.07</v>
      </c>
      <c r="AA22" s="43">
        <v>60</v>
      </c>
      <c r="AB22" s="43">
        <f t="shared" si="3"/>
        <v>349.07</v>
      </c>
      <c r="AC22" s="43">
        <f t="shared" si="4"/>
        <v>0</v>
      </c>
      <c r="AD22" s="43">
        <f t="shared" si="65"/>
        <v>349.07</v>
      </c>
      <c r="AE22" s="43">
        <f t="shared" si="65"/>
        <v>0</v>
      </c>
      <c r="AF22" s="43">
        <f t="shared" si="5"/>
        <v>0</v>
      </c>
      <c r="AG22" s="43">
        <f t="shared" si="6"/>
        <v>87</v>
      </c>
      <c r="AH22" s="43">
        <f t="shared" si="6"/>
        <v>0</v>
      </c>
      <c r="AI22" s="93">
        <f t="shared" si="7"/>
        <v>29</v>
      </c>
      <c r="AJ22" s="43">
        <f t="shared" si="7"/>
        <v>0</v>
      </c>
      <c r="AK22" s="43"/>
      <c r="AL22" s="43"/>
      <c r="AM22" s="43">
        <f t="shared" si="8"/>
        <v>87.27</v>
      </c>
      <c r="AN22" s="43">
        <f t="shared" si="9"/>
        <v>0</v>
      </c>
      <c r="AO22" s="43"/>
      <c r="AP22" s="43"/>
      <c r="AQ22" s="43">
        <f t="shared" si="10"/>
        <v>174.26999999999998</v>
      </c>
      <c r="AR22" s="43">
        <f t="shared" si="10"/>
        <v>0</v>
      </c>
      <c r="AS22" s="43"/>
      <c r="AT22" s="43"/>
      <c r="AU22" s="43">
        <f t="shared" si="0"/>
        <v>87.27</v>
      </c>
      <c r="AV22" s="43">
        <f t="shared" si="0"/>
        <v>0</v>
      </c>
      <c r="AW22" s="43"/>
      <c r="AX22" s="43"/>
      <c r="AY22" s="43">
        <f t="shared" si="11"/>
        <v>290.53999999999996</v>
      </c>
      <c r="AZ22" s="43">
        <f t="shared" si="11"/>
        <v>0</v>
      </c>
      <c r="BA22" s="43">
        <f t="shared" si="12"/>
        <v>290.53999999999996</v>
      </c>
      <c r="BB22" s="60">
        <v>290.54000000000002</v>
      </c>
      <c r="BC22" s="60"/>
      <c r="BD22" s="60">
        <f t="shared" si="13"/>
        <v>0</v>
      </c>
      <c r="BE22" s="60">
        <f t="shared" si="13"/>
        <v>0</v>
      </c>
      <c r="BF22" s="60">
        <f t="shared" si="14"/>
        <v>58.11</v>
      </c>
      <c r="BG22" s="60">
        <f t="shared" si="14"/>
        <v>0</v>
      </c>
      <c r="BH22" s="43">
        <v>29.06</v>
      </c>
      <c r="BI22" s="43">
        <v>0</v>
      </c>
      <c r="BJ22" s="43"/>
      <c r="BK22" s="43"/>
      <c r="BL22" s="43">
        <f t="shared" si="1"/>
        <v>319.59999999999997</v>
      </c>
      <c r="BM22" s="43">
        <f t="shared" si="1"/>
        <v>0</v>
      </c>
      <c r="BN22" s="43">
        <f t="shared" si="15"/>
        <v>319.59999999999997</v>
      </c>
      <c r="BO22" s="43">
        <v>290.54000000000002</v>
      </c>
      <c r="BP22" s="93"/>
      <c r="BQ22" s="43">
        <f t="shared" si="16"/>
        <v>29.059999999999945</v>
      </c>
      <c r="BR22" s="43">
        <f t="shared" si="16"/>
        <v>0</v>
      </c>
      <c r="BS22" s="43">
        <f t="shared" si="17"/>
        <v>26.41</v>
      </c>
      <c r="BT22" s="43">
        <f t="shared" si="17"/>
        <v>0</v>
      </c>
      <c r="BU22" s="43">
        <v>0</v>
      </c>
      <c r="BV22" s="43">
        <f t="shared" si="60"/>
        <v>0</v>
      </c>
      <c r="BW22" s="43">
        <v>29.47</v>
      </c>
      <c r="BX22" s="43"/>
      <c r="BY22" s="43"/>
      <c r="BZ22" s="43"/>
      <c r="CA22" s="43">
        <v>349.06999999999994</v>
      </c>
      <c r="CB22" s="43">
        <v>0</v>
      </c>
      <c r="CC22" s="92">
        <v>383.98</v>
      </c>
      <c r="CD22" s="92">
        <v>0</v>
      </c>
      <c r="CE22" s="92">
        <v>32</v>
      </c>
      <c r="CF22" s="92">
        <v>0</v>
      </c>
      <c r="CG22" s="92">
        <f t="shared" si="19"/>
        <v>87.27</v>
      </c>
      <c r="CH22" s="92">
        <f t="shared" si="19"/>
        <v>0</v>
      </c>
      <c r="CI22" s="43"/>
      <c r="CJ22" s="43"/>
      <c r="CK22" s="43">
        <v>90</v>
      </c>
      <c r="CL22" s="43">
        <v>0</v>
      </c>
      <c r="CM22" s="43"/>
      <c r="CN22" s="43"/>
      <c r="CO22" s="43">
        <v>375</v>
      </c>
      <c r="CP22" s="43"/>
      <c r="CQ22" s="43">
        <f t="shared" si="20"/>
        <v>360</v>
      </c>
      <c r="CR22" s="43">
        <f t="shared" si="20"/>
        <v>0</v>
      </c>
      <c r="CS22" s="43">
        <f t="shared" si="21"/>
        <v>360</v>
      </c>
      <c r="CT22" s="43">
        <f t="shared" si="21"/>
        <v>0</v>
      </c>
      <c r="CU22" s="43">
        <v>360</v>
      </c>
      <c r="CV22" s="43">
        <v>0</v>
      </c>
      <c r="CW22" s="43">
        <f t="shared" si="22"/>
        <v>90</v>
      </c>
      <c r="CX22" s="43">
        <f t="shared" si="22"/>
        <v>0</v>
      </c>
      <c r="CY22" s="43"/>
      <c r="CZ22" s="43"/>
      <c r="DA22" s="43">
        <f t="shared" si="23"/>
        <v>212</v>
      </c>
      <c r="DB22" s="43">
        <f t="shared" si="23"/>
        <v>0</v>
      </c>
      <c r="DC22" s="43">
        <v>212</v>
      </c>
      <c r="DD22" s="43">
        <v>0</v>
      </c>
      <c r="DE22" s="43">
        <f t="shared" si="24"/>
        <v>0</v>
      </c>
      <c r="DF22" s="43">
        <f t="shared" si="24"/>
        <v>0</v>
      </c>
      <c r="DG22" s="43">
        <f t="shared" si="56"/>
        <v>90</v>
      </c>
      <c r="DH22" s="43">
        <f t="shared" si="56"/>
        <v>0</v>
      </c>
      <c r="DI22" s="43">
        <f t="shared" si="57"/>
        <v>90</v>
      </c>
      <c r="DJ22" s="43">
        <f t="shared" si="57"/>
        <v>0</v>
      </c>
      <c r="DK22" s="43"/>
      <c r="DL22" s="43"/>
      <c r="DM22" s="43">
        <f t="shared" si="25"/>
        <v>302</v>
      </c>
      <c r="DN22" s="43">
        <f t="shared" si="25"/>
        <v>0</v>
      </c>
      <c r="DO22" s="94">
        <v>302</v>
      </c>
      <c r="DP22" s="94">
        <v>0</v>
      </c>
      <c r="DQ22" s="60">
        <f t="shared" si="26"/>
        <v>0</v>
      </c>
      <c r="DR22" s="60">
        <f t="shared" si="26"/>
        <v>0</v>
      </c>
      <c r="DS22" s="60">
        <f t="shared" si="27"/>
        <v>30.2</v>
      </c>
      <c r="DT22" s="60">
        <f t="shared" si="27"/>
        <v>0</v>
      </c>
      <c r="DU22" s="60">
        <f t="shared" si="28"/>
        <v>30.2</v>
      </c>
      <c r="DV22" s="60">
        <f t="shared" si="28"/>
        <v>0</v>
      </c>
      <c r="DW22" s="60"/>
      <c r="DX22" s="60"/>
      <c r="DY22" s="60">
        <f t="shared" si="29"/>
        <v>30.2</v>
      </c>
      <c r="DZ22" s="60">
        <f t="shared" si="29"/>
        <v>0</v>
      </c>
      <c r="EA22" s="60"/>
      <c r="EB22" s="60"/>
      <c r="EC22" s="43">
        <f t="shared" si="30"/>
        <v>332.2</v>
      </c>
      <c r="ED22" s="43">
        <f t="shared" si="30"/>
        <v>0</v>
      </c>
      <c r="EE22" s="43">
        <v>302</v>
      </c>
      <c r="EF22" s="43">
        <v>0</v>
      </c>
      <c r="EG22" s="43">
        <f t="shared" ref="EG22:EH84" si="66">ROUND(EE22/EC22*100,2)</f>
        <v>90.91</v>
      </c>
      <c r="EH22" s="43" t="e">
        <f t="shared" si="66"/>
        <v>#DIV/0!</v>
      </c>
      <c r="EI22" s="43">
        <f t="shared" si="32"/>
        <v>30.2</v>
      </c>
      <c r="EJ22" s="43">
        <f t="shared" si="32"/>
        <v>0</v>
      </c>
      <c r="EK22" s="43">
        <f t="shared" si="33"/>
        <v>27.45</v>
      </c>
      <c r="EL22" s="43">
        <f t="shared" si="33"/>
        <v>0</v>
      </c>
      <c r="EM22" s="43">
        <f t="shared" si="34"/>
        <v>-2.75</v>
      </c>
      <c r="EN22" s="43">
        <f t="shared" si="34"/>
        <v>0</v>
      </c>
      <c r="EO22" s="43"/>
      <c r="EP22" s="43">
        <v>0</v>
      </c>
      <c r="EQ22" s="5"/>
      <c r="ER22" s="5"/>
      <c r="ES22" s="5"/>
      <c r="ET22" s="5"/>
      <c r="EU22" s="5">
        <f>+EW22-EC22-EO22</f>
        <v>27.800000000000011</v>
      </c>
      <c r="EV22" s="5">
        <f>+EX22-ED22-EP22</f>
        <v>0</v>
      </c>
      <c r="EW22" s="5">
        <f>300+60</f>
        <v>360</v>
      </c>
      <c r="EY22" s="55">
        <f>330+70</f>
        <v>400</v>
      </c>
    </row>
    <row r="23" spans="1:158" ht="18.75" x14ac:dyDescent="0.25">
      <c r="A23" s="37">
        <v>14</v>
      </c>
      <c r="B23" s="37"/>
      <c r="C23" s="91" t="s">
        <v>129</v>
      </c>
      <c r="D23" s="38" t="s">
        <v>130</v>
      </c>
      <c r="E23" s="39"/>
      <c r="F23" s="40">
        <v>0</v>
      </c>
      <c r="G23" s="40">
        <v>0</v>
      </c>
      <c r="H23" s="40">
        <v>0</v>
      </c>
      <c r="I23" s="40">
        <v>0</v>
      </c>
      <c r="J23" s="41">
        <v>484</v>
      </c>
      <c r="K23" s="41">
        <v>0</v>
      </c>
      <c r="L23" s="41">
        <v>0</v>
      </c>
      <c r="M23" s="41">
        <f t="shared" si="62"/>
        <v>484</v>
      </c>
      <c r="N23" s="41">
        <v>0</v>
      </c>
      <c r="O23" s="41">
        <v>0</v>
      </c>
      <c r="P23" s="41">
        <v>0</v>
      </c>
      <c r="Q23" s="41">
        <f t="shared" si="58"/>
        <v>0</v>
      </c>
      <c r="R23" s="41">
        <f t="shared" si="59"/>
        <v>484</v>
      </c>
      <c r="S23" s="41">
        <v>0</v>
      </c>
      <c r="T23" s="92"/>
      <c r="U23" s="92"/>
      <c r="V23" s="40">
        <f t="shared" si="63"/>
        <v>0</v>
      </c>
      <c r="W23" s="40">
        <f t="shared" si="64"/>
        <v>0</v>
      </c>
      <c r="X23" s="43">
        <f t="shared" si="2"/>
        <v>484</v>
      </c>
      <c r="Y23" s="43">
        <f t="shared" si="2"/>
        <v>0</v>
      </c>
      <c r="Z23" s="43">
        <v>0</v>
      </c>
      <c r="AA23" s="43"/>
      <c r="AB23" s="43">
        <f t="shared" si="3"/>
        <v>0</v>
      </c>
      <c r="AC23" s="43">
        <f t="shared" si="4"/>
        <v>0</v>
      </c>
      <c r="AD23" s="43">
        <f t="shared" si="65"/>
        <v>0</v>
      </c>
      <c r="AE23" s="43">
        <f t="shared" si="65"/>
        <v>0</v>
      </c>
      <c r="AF23" s="43">
        <f t="shared" si="5"/>
        <v>0</v>
      </c>
      <c r="AG23" s="43">
        <f t="shared" si="6"/>
        <v>0</v>
      </c>
      <c r="AH23" s="43">
        <f t="shared" si="6"/>
        <v>0</v>
      </c>
      <c r="AI23" s="93">
        <f t="shared" si="7"/>
        <v>0</v>
      </c>
      <c r="AJ23" s="43">
        <f t="shared" si="7"/>
        <v>0</v>
      </c>
      <c r="AK23" s="43"/>
      <c r="AL23" s="43"/>
      <c r="AM23" s="43">
        <f t="shared" si="8"/>
        <v>0</v>
      </c>
      <c r="AN23" s="43">
        <f t="shared" si="9"/>
        <v>0</v>
      </c>
      <c r="AO23" s="43"/>
      <c r="AP23" s="43"/>
      <c r="AQ23" s="43">
        <f t="shared" si="10"/>
        <v>0</v>
      </c>
      <c r="AR23" s="43">
        <f t="shared" si="10"/>
        <v>0</v>
      </c>
      <c r="AS23" s="43"/>
      <c r="AT23" s="43"/>
      <c r="AU23" s="43">
        <f t="shared" si="0"/>
        <v>0</v>
      </c>
      <c r="AV23" s="43">
        <f t="shared" si="0"/>
        <v>0</v>
      </c>
      <c r="AW23" s="43"/>
      <c r="AX23" s="43"/>
      <c r="AY23" s="43">
        <f t="shared" si="11"/>
        <v>0</v>
      </c>
      <c r="AZ23" s="43">
        <f t="shared" si="11"/>
        <v>0</v>
      </c>
      <c r="BA23" s="43">
        <f t="shared" si="12"/>
        <v>0</v>
      </c>
      <c r="BB23" s="60">
        <v>0</v>
      </c>
      <c r="BC23" s="60"/>
      <c r="BD23" s="60">
        <f t="shared" si="13"/>
        <v>0</v>
      </c>
      <c r="BE23" s="60">
        <f t="shared" si="13"/>
        <v>0</v>
      </c>
      <c r="BF23" s="60">
        <f t="shared" si="14"/>
        <v>0</v>
      </c>
      <c r="BG23" s="60">
        <f t="shared" si="14"/>
        <v>0</v>
      </c>
      <c r="BH23" s="43">
        <v>0</v>
      </c>
      <c r="BI23" s="43">
        <v>0</v>
      </c>
      <c r="BJ23" s="43"/>
      <c r="BK23" s="43"/>
      <c r="BL23" s="43">
        <f t="shared" si="1"/>
        <v>0</v>
      </c>
      <c r="BM23" s="43">
        <f t="shared" si="1"/>
        <v>0</v>
      </c>
      <c r="BN23" s="43">
        <f t="shared" si="15"/>
        <v>0</v>
      </c>
      <c r="BO23" s="43"/>
      <c r="BP23" s="93"/>
      <c r="BQ23" s="43">
        <f t="shared" si="16"/>
        <v>0</v>
      </c>
      <c r="BR23" s="43">
        <f t="shared" si="16"/>
        <v>0</v>
      </c>
      <c r="BS23" s="43">
        <f t="shared" si="17"/>
        <v>0</v>
      </c>
      <c r="BT23" s="43">
        <f t="shared" si="17"/>
        <v>0</v>
      </c>
      <c r="BU23" s="43">
        <f t="shared" si="60"/>
        <v>0</v>
      </c>
      <c r="BV23" s="43">
        <f t="shared" si="60"/>
        <v>0</v>
      </c>
      <c r="BW23" s="43"/>
      <c r="BX23" s="43"/>
      <c r="BY23" s="43"/>
      <c r="BZ23" s="43"/>
      <c r="CA23" s="43">
        <v>0</v>
      </c>
      <c r="CB23" s="43">
        <v>0</v>
      </c>
      <c r="CC23" s="92">
        <v>0</v>
      </c>
      <c r="CD23" s="92">
        <v>0</v>
      </c>
      <c r="CE23" s="92">
        <v>0</v>
      </c>
      <c r="CF23" s="92">
        <v>0</v>
      </c>
      <c r="CG23" s="92">
        <f t="shared" si="19"/>
        <v>0</v>
      </c>
      <c r="CH23" s="92">
        <f t="shared" si="19"/>
        <v>0</v>
      </c>
      <c r="CI23" s="43"/>
      <c r="CJ23" s="43"/>
      <c r="CK23" s="43">
        <v>0</v>
      </c>
      <c r="CL23" s="43">
        <v>0</v>
      </c>
      <c r="CM23" s="43"/>
      <c r="CN23" s="43"/>
      <c r="CO23" s="43">
        <v>5.46</v>
      </c>
      <c r="CP23" s="43"/>
      <c r="CQ23" s="43">
        <f t="shared" si="20"/>
        <v>0</v>
      </c>
      <c r="CR23" s="43">
        <f t="shared" si="20"/>
        <v>0</v>
      </c>
      <c r="CS23" s="43">
        <f t="shared" si="21"/>
        <v>0</v>
      </c>
      <c r="CT23" s="43">
        <f t="shared" si="21"/>
        <v>0</v>
      </c>
      <c r="CU23" s="43">
        <v>0</v>
      </c>
      <c r="CV23" s="43">
        <v>0</v>
      </c>
      <c r="CW23" s="43">
        <f t="shared" si="22"/>
        <v>0</v>
      </c>
      <c r="CX23" s="43">
        <f t="shared" si="22"/>
        <v>0</v>
      </c>
      <c r="CY23" s="43"/>
      <c r="CZ23" s="43"/>
      <c r="DA23" s="43">
        <f t="shared" si="23"/>
        <v>0</v>
      </c>
      <c r="DB23" s="43">
        <f t="shared" si="23"/>
        <v>0</v>
      </c>
      <c r="DC23" s="43">
        <v>0</v>
      </c>
      <c r="DD23" s="43">
        <v>0</v>
      </c>
      <c r="DE23" s="43">
        <f t="shared" si="24"/>
        <v>0</v>
      </c>
      <c r="DF23" s="43">
        <f t="shared" si="24"/>
        <v>0</v>
      </c>
      <c r="DG23" s="43">
        <f t="shared" si="56"/>
        <v>0</v>
      </c>
      <c r="DH23" s="43">
        <f t="shared" si="56"/>
        <v>0</v>
      </c>
      <c r="DI23" s="43">
        <f t="shared" si="57"/>
        <v>0</v>
      </c>
      <c r="DJ23" s="43">
        <f t="shared" si="57"/>
        <v>0</v>
      </c>
      <c r="DK23" s="43"/>
      <c r="DL23" s="43"/>
      <c r="DM23" s="43">
        <f t="shared" si="25"/>
        <v>0</v>
      </c>
      <c r="DN23" s="43">
        <f t="shared" si="25"/>
        <v>0</v>
      </c>
      <c r="DO23" s="94">
        <v>0</v>
      </c>
      <c r="DP23" s="94">
        <v>0</v>
      </c>
      <c r="DQ23" s="60">
        <f t="shared" si="26"/>
        <v>0</v>
      </c>
      <c r="DR23" s="60">
        <f t="shared" si="26"/>
        <v>0</v>
      </c>
      <c r="DS23" s="60">
        <f t="shared" si="27"/>
        <v>0</v>
      </c>
      <c r="DT23" s="60">
        <f t="shared" si="27"/>
        <v>0</v>
      </c>
      <c r="DU23" s="60">
        <f t="shared" si="28"/>
        <v>0</v>
      </c>
      <c r="DV23" s="60">
        <f t="shared" si="28"/>
        <v>0</v>
      </c>
      <c r="DW23" s="60"/>
      <c r="DX23" s="60"/>
      <c r="DY23" s="60">
        <f t="shared" si="29"/>
        <v>0</v>
      </c>
      <c r="DZ23" s="60">
        <f t="shared" si="29"/>
        <v>0</v>
      </c>
      <c r="EA23" s="60"/>
      <c r="EB23" s="60"/>
      <c r="EC23" s="43">
        <f t="shared" si="30"/>
        <v>0</v>
      </c>
      <c r="ED23" s="43">
        <f t="shared" si="30"/>
        <v>0</v>
      </c>
      <c r="EE23" s="43"/>
      <c r="EF23" s="43"/>
      <c r="EG23" s="43" t="e">
        <f t="shared" si="66"/>
        <v>#DIV/0!</v>
      </c>
      <c r="EH23" s="43" t="e">
        <f t="shared" si="66"/>
        <v>#DIV/0!</v>
      </c>
      <c r="EI23" s="43">
        <f t="shared" si="32"/>
        <v>0</v>
      </c>
      <c r="EJ23" s="43">
        <f t="shared" si="32"/>
        <v>0</v>
      </c>
      <c r="EK23" s="43">
        <f t="shared" si="33"/>
        <v>0</v>
      </c>
      <c r="EL23" s="43">
        <f t="shared" si="33"/>
        <v>0</v>
      </c>
      <c r="EM23" s="43">
        <f t="shared" si="34"/>
        <v>0</v>
      </c>
      <c r="EN23" s="43">
        <f t="shared" si="34"/>
        <v>0</v>
      </c>
      <c r="EO23" s="43"/>
      <c r="EP23" s="43">
        <v>0</v>
      </c>
      <c r="EQ23" s="5"/>
      <c r="ER23" s="5"/>
      <c r="ES23" s="5"/>
      <c r="ET23" s="5"/>
      <c r="EU23" s="5">
        <f t="shared" ref="EU23:EV25" si="67">+EW23-EC23-EO23</f>
        <v>0</v>
      </c>
      <c r="EV23" s="5">
        <f t="shared" si="67"/>
        <v>0</v>
      </c>
    </row>
    <row r="24" spans="1:158" ht="18.75" x14ac:dyDescent="0.25">
      <c r="A24" s="37"/>
      <c r="B24" s="37"/>
      <c r="C24" s="80"/>
      <c r="D24" s="38" t="s">
        <v>131</v>
      </c>
      <c r="E24" s="39"/>
      <c r="F24" s="70">
        <v>22437.200000000001</v>
      </c>
      <c r="G24" s="70">
        <v>18901.61</v>
      </c>
      <c r="H24" s="70">
        <v>22596.2</v>
      </c>
      <c r="I24" s="70">
        <v>18901.61</v>
      </c>
      <c r="J24" s="71">
        <f t="shared" ref="J24:AB24" si="68">+J17+J18+J19+J20+J21+J22+J23</f>
        <v>24692.51</v>
      </c>
      <c r="K24" s="71">
        <f t="shared" si="68"/>
        <v>0</v>
      </c>
      <c r="L24" s="71">
        <f t="shared" si="68"/>
        <v>0</v>
      </c>
      <c r="M24" s="71">
        <f t="shared" si="68"/>
        <v>24692.51</v>
      </c>
      <c r="N24" s="71">
        <f t="shared" si="68"/>
        <v>126.47999999999999</v>
      </c>
      <c r="O24" s="71">
        <f t="shared" si="68"/>
        <v>0</v>
      </c>
      <c r="P24" s="71">
        <f t="shared" si="68"/>
        <v>0</v>
      </c>
      <c r="Q24" s="71">
        <f t="shared" si="68"/>
        <v>126.47999999999999</v>
      </c>
      <c r="R24" s="71">
        <f t="shared" si="68"/>
        <v>24818.989999999998</v>
      </c>
      <c r="S24" s="71">
        <f t="shared" si="68"/>
        <v>21000</v>
      </c>
      <c r="T24" s="71">
        <f t="shared" si="68"/>
        <v>0</v>
      </c>
      <c r="U24" s="71">
        <f t="shared" si="68"/>
        <v>0</v>
      </c>
      <c r="V24" s="71">
        <f t="shared" si="68"/>
        <v>23913.549999999996</v>
      </c>
      <c r="W24" s="71">
        <f t="shared" si="68"/>
        <v>19519.689999999999</v>
      </c>
      <c r="X24" s="71">
        <f t="shared" si="68"/>
        <v>905.44000000000165</v>
      </c>
      <c r="Y24" s="71">
        <f t="shared" si="68"/>
        <v>1480.3100000000013</v>
      </c>
      <c r="Z24" s="71">
        <f t="shared" si="68"/>
        <v>23813.549999999996</v>
      </c>
      <c r="AA24" s="71">
        <f t="shared" si="68"/>
        <v>100</v>
      </c>
      <c r="AB24" s="71">
        <f t="shared" si="68"/>
        <v>23913.549999999996</v>
      </c>
      <c r="AC24" s="43">
        <f t="shared" si="4"/>
        <v>0</v>
      </c>
      <c r="AD24" s="70">
        <f t="shared" ref="AD24:CP24" si="69">+AD17+AD18+AD19+AD20+AD21+AD22+AD23</f>
        <v>23913.549999999996</v>
      </c>
      <c r="AE24" s="70">
        <f t="shared" si="69"/>
        <v>20019.689999999999</v>
      </c>
      <c r="AF24" s="70">
        <f t="shared" si="69"/>
        <v>18946.2</v>
      </c>
      <c r="AG24" s="70">
        <f t="shared" si="69"/>
        <v>5979</v>
      </c>
      <c r="AH24" s="70">
        <f t="shared" si="69"/>
        <v>5005</v>
      </c>
      <c r="AI24" s="96">
        <f t="shared" si="69"/>
        <v>1993</v>
      </c>
      <c r="AJ24" s="70">
        <f t="shared" si="69"/>
        <v>1668</v>
      </c>
      <c r="AK24" s="70">
        <f t="shared" si="69"/>
        <v>0</v>
      </c>
      <c r="AL24" s="70">
        <f t="shared" si="69"/>
        <v>0</v>
      </c>
      <c r="AM24" s="70">
        <f t="shared" si="69"/>
        <v>5978.39</v>
      </c>
      <c r="AN24" s="70">
        <f t="shared" si="69"/>
        <v>4874.79</v>
      </c>
      <c r="AO24" s="70">
        <f t="shared" si="69"/>
        <v>0</v>
      </c>
      <c r="AP24" s="70">
        <f t="shared" si="69"/>
        <v>0</v>
      </c>
      <c r="AQ24" s="70">
        <f t="shared" si="69"/>
        <v>11957.390000000001</v>
      </c>
      <c r="AR24" s="70">
        <f t="shared" si="69"/>
        <v>9879.7900000000009</v>
      </c>
      <c r="AS24" s="70">
        <f t="shared" si="69"/>
        <v>300</v>
      </c>
      <c r="AT24" s="70">
        <f t="shared" si="69"/>
        <v>0</v>
      </c>
      <c r="AU24" s="70">
        <f t="shared" si="69"/>
        <v>6734.6</v>
      </c>
      <c r="AV24" s="70">
        <f t="shared" si="69"/>
        <v>7000</v>
      </c>
      <c r="AW24" s="70">
        <f t="shared" si="69"/>
        <v>0</v>
      </c>
      <c r="AX24" s="70">
        <f t="shared" si="69"/>
        <v>0</v>
      </c>
      <c r="AY24" s="70">
        <f t="shared" si="69"/>
        <v>20984.99</v>
      </c>
      <c r="AZ24" s="70">
        <f t="shared" si="69"/>
        <v>18547.79</v>
      </c>
      <c r="BA24" s="70">
        <f t="shared" si="69"/>
        <v>39532.780000000006</v>
      </c>
      <c r="BB24" s="70">
        <f t="shared" si="69"/>
        <v>19892.140000000003</v>
      </c>
      <c r="BC24" s="70">
        <f t="shared" si="69"/>
        <v>18544.14</v>
      </c>
      <c r="BD24" s="70">
        <f t="shared" si="69"/>
        <v>1092.8500000000004</v>
      </c>
      <c r="BE24" s="70">
        <f t="shared" si="69"/>
        <v>3.6500000000014552</v>
      </c>
      <c r="BF24" s="70">
        <f t="shared" si="69"/>
        <v>3978.4300000000003</v>
      </c>
      <c r="BG24" s="96">
        <f t="shared" si="69"/>
        <v>3708.83</v>
      </c>
      <c r="BH24" s="96">
        <f t="shared" si="69"/>
        <v>2494.0099999999998</v>
      </c>
      <c r="BI24" s="96">
        <f t="shared" si="69"/>
        <v>2000</v>
      </c>
      <c r="BJ24" s="96">
        <f t="shared" si="69"/>
        <v>0</v>
      </c>
      <c r="BK24" s="96">
        <f t="shared" si="69"/>
        <v>0</v>
      </c>
      <c r="BL24" s="96">
        <f t="shared" si="69"/>
        <v>23479</v>
      </c>
      <c r="BM24" s="96">
        <f t="shared" si="69"/>
        <v>20547.79</v>
      </c>
      <c r="BN24" s="96">
        <f t="shared" si="69"/>
        <v>44026.79</v>
      </c>
      <c r="BO24" s="96">
        <f t="shared" si="69"/>
        <v>22179.25</v>
      </c>
      <c r="BP24" s="96">
        <f t="shared" si="69"/>
        <v>20023.29</v>
      </c>
      <c r="BQ24" s="70">
        <f t="shared" si="69"/>
        <v>1299.7500000000016</v>
      </c>
      <c r="BR24" s="70">
        <f t="shared" si="69"/>
        <v>524.5</v>
      </c>
      <c r="BS24" s="70">
        <f t="shared" si="69"/>
        <v>2016.3</v>
      </c>
      <c r="BT24" s="70">
        <f t="shared" si="69"/>
        <v>1820.3</v>
      </c>
      <c r="BU24" s="70">
        <f t="shared" si="69"/>
        <v>716.55000000000007</v>
      </c>
      <c r="BV24" s="70">
        <f t="shared" si="69"/>
        <v>1245.8</v>
      </c>
      <c r="BW24" s="70">
        <f t="shared" si="69"/>
        <v>1069.47</v>
      </c>
      <c r="BX24" s="70">
        <f t="shared" si="69"/>
        <v>404</v>
      </c>
      <c r="BY24" s="70">
        <f t="shared" si="69"/>
        <v>0</v>
      </c>
      <c r="BZ24" s="70">
        <f t="shared" si="69"/>
        <v>0</v>
      </c>
      <c r="CA24" s="70">
        <f t="shared" si="69"/>
        <v>25265.02</v>
      </c>
      <c r="CB24" s="70">
        <f t="shared" si="69"/>
        <v>22197.59</v>
      </c>
      <c r="CC24" s="70">
        <f t="shared" si="69"/>
        <v>27791.53</v>
      </c>
      <c r="CD24" s="70">
        <f t="shared" si="69"/>
        <v>25527.23</v>
      </c>
      <c r="CE24" s="70">
        <f t="shared" si="69"/>
        <v>2316</v>
      </c>
      <c r="CF24" s="70">
        <f t="shared" si="69"/>
        <v>2127</v>
      </c>
      <c r="CG24" s="70">
        <f t="shared" si="69"/>
        <v>6316.26</v>
      </c>
      <c r="CH24" s="96">
        <f t="shared" si="69"/>
        <v>5549.4</v>
      </c>
      <c r="CI24" s="70">
        <f t="shared" si="69"/>
        <v>0</v>
      </c>
      <c r="CJ24" s="70">
        <f t="shared" si="69"/>
        <v>0</v>
      </c>
      <c r="CK24" s="70">
        <f t="shared" si="69"/>
        <v>6445</v>
      </c>
      <c r="CL24" s="70">
        <f t="shared" si="69"/>
        <v>5500</v>
      </c>
      <c r="CM24" s="70">
        <f t="shared" si="69"/>
        <v>0</v>
      </c>
      <c r="CN24" s="70">
        <f t="shared" si="69"/>
        <v>0</v>
      </c>
      <c r="CO24" s="70">
        <f t="shared" si="69"/>
        <v>33298.82</v>
      </c>
      <c r="CP24" s="70">
        <f t="shared" si="69"/>
        <v>23023</v>
      </c>
      <c r="CQ24" s="70">
        <f t="shared" ref="CQ24:EZ24" si="70">+CQ17+CQ18+CQ19+CQ20+CQ21+CQ22+CQ23</f>
        <v>25780</v>
      </c>
      <c r="CR24" s="70">
        <f t="shared" si="70"/>
        <v>22000</v>
      </c>
      <c r="CS24" s="70">
        <f t="shared" si="70"/>
        <v>25758</v>
      </c>
      <c r="CT24" s="70">
        <f t="shared" si="70"/>
        <v>22000</v>
      </c>
      <c r="CU24" s="70">
        <f t="shared" si="70"/>
        <v>25849.41</v>
      </c>
      <c r="CV24" s="70">
        <f t="shared" si="70"/>
        <v>22000</v>
      </c>
      <c r="CW24" s="70">
        <f t="shared" si="70"/>
        <v>6439.5</v>
      </c>
      <c r="CX24" s="70">
        <f t="shared" si="70"/>
        <v>5500</v>
      </c>
      <c r="CY24" s="70">
        <f t="shared" si="70"/>
        <v>0</v>
      </c>
      <c r="CZ24" s="70">
        <f t="shared" si="70"/>
        <v>250</v>
      </c>
      <c r="DA24" s="70">
        <f t="shared" si="70"/>
        <v>15200.5</v>
      </c>
      <c r="DB24" s="70">
        <f t="shared" si="70"/>
        <v>13377</v>
      </c>
      <c r="DC24" s="70">
        <f t="shared" si="70"/>
        <v>14016</v>
      </c>
      <c r="DD24" s="70">
        <f t="shared" si="70"/>
        <v>13408.74</v>
      </c>
      <c r="DE24" s="70">
        <f t="shared" si="70"/>
        <v>1184.5</v>
      </c>
      <c r="DF24" s="70">
        <f t="shared" si="70"/>
        <v>-31.739999999999782</v>
      </c>
      <c r="DG24" s="70">
        <f t="shared" si="70"/>
        <v>6462.35</v>
      </c>
      <c r="DH24" s="70">
        <f t="shared" si="70"/>
        <v>5500</v>
      </c>
      <c r="DI24" s="70">
        <f t="shared" si="70"/>
        <v>5277.85</v>
      </c>
      <c r="DJ24" s="70">
        <f t="shared" si="70"/>
        <v>5531.74</v>
      </c>
      <c r="DK24" s="70">
        <f t="shared" si="70"/>
        <v>500</v>
      </c>
      <c r="DL24" s="70">
        <f t="shared" si="70"/>
        <v>0</v>
      </c>
      <c r="DM24" s="70">
        <f t="shared" si="70"/>
        <v>20978.35</v>
      </c>
      <c r="DN24" s="70">
        <f t="shared" si="70"/>
        <v>18908.739999999998</v>
      </c>
      <c r="DO24" s="97">
        <f t="shared" ref="DO24:ET24" si="71">DO17+DO18+DO19+DO20+DO21+DO22+DO23</f>
        <v>21313.809999999998</v>
      </c>
      <c r="DP24" s="98">
        <f t="shared" si="71"/>
        <v>18866.599999999999</v>
      </c>
      <c r="DQ24" s="98">
        <f t="shared" si="71"/>
        <v>-335.46</v>
      </c>
      <c r="DR24" s="98">
        <f t="shared" si="71"/>
        <v>42.14</v>
      </c>
      <c r="DS24" s="98">
        <f t="shared" si="71"/>
        <v>2131.3809999999999</v>
      </c>
      <c r="DT24" s="98">
        <f t="shared" si="71"/>
        <v>1886.6599999999999</v>
      </c>
      <c r="DU24" s="98">
        <f t="shared" si="71"/>
        <v>2466.8409999999999</v>
      </c>
      <c r="DV24" s="98">
        <f t="shared" si="71"/>
        <v>1844.5199999999998</v>
      </c>
      <c r="DW24" s="98">
        <f t="shared" si="71"/>
        <v>1000</v>
      </c>
      <c r="DX24" s="98">
        <f t="shared" si="71"/>
        <v>600</v>
      </c>
      <c r="DY24" s="98">
        <f t="shared" si="71"/>
        <v>2466.85</v>
      </c>
      <c r="DZ24" s="98">
        <f t="shared" si="71"/>
        <v>1900</v>
      </c>
      <c r="EA24" s="98">
        <f t="shared" si="71"/>
        <v>0</v>
      </c>
      <c r="EB24" s="134">
        <f t="shared" si="71"/>
        <v>0</v>
      </c>
      <c r="EC24" s="140">
        <f t="shared" si="71"/>
        <v>23445.200000000001</v>
      </c>
      <c r="ED24" s="140">
        <f t="shared" si="71"/>
        <v>20808.739999999998</v>
      </c>
      <c r="EE24" s="140">
        <f t="shared" si="71"/>
        <v>23236.34</v>
      </c>
      <c r="EF24" s="140">
        <f t="shared" si="71"/>
        <v>20808.63</v>
      </c>
      <c r="EG24" s="140" t="e">
        <f t="shared" si="71"/>
        <v>#DIV/0!</v>
      </c>
      <c r="EH24" s="140" t="e">
        <f t="shared" si="71"/>
        <v>#DIV/0!</v>
      </c>
      <c r="EI24" s="140">
        <f t="shared" si="71"/>
        <v>208.85999999999999</v>
      </c>
      <c r="EJ24" s="140">
        <f t="shared" si="71"/>
        <v>0.11</v>
      </c>
      <c r="EK24" s="140">
        <f t="shared" si="71"/>
        <v>2112.39</v>
      </c>
      <c r="EL24" s="140">
        <f t="shared" si="71"/>
        <v>1891.69</v>
      </c>
      <c r="EM24" s="140">
        <f t="shared" si="71"/>
        <v>1903.53</v>
      </c>
      <c r="EN24" s="140">
        <f t="shared" si="71"/>
        <v>1891.5800000000002</v>
      </c>
      <c r="EO24" s="140">
        <f t="shared" si="71"/>
        <v>2400</v>
      </c>
      <c r="EP24" s="140">
        <f t="shared" si="71"/>
        <v>2200</v>
      </c>
      <c r="EQ24" s="136">
        <f t="shared" si="71"/>
        <v>0</v>
      </c>
      <c r="ER24" s="47"/>
      <c r="ES24" s="47">
        <f t="shared" si="71"/>
        <v>0</v>
      </c>
      <c r="ET24" s="47">
        <f t="shared" si="71"/>
        <v>0</v>
      </c>
      <c r="EU24" s="5">
        <f t="shared" si="67"/>
        <v>1204.2099999999991</v>
      </c>
      <c r="EV24" s="5">
        <f t="shared" si="67"/>
        <v>991.26000000000204</v>
      </c>
      <c r="EW24" s="56">
        <f t="shared" si="70"/>
        <v>27049.41</v>
      </c>
      <c r="EX24" s="56">
        <f t="shared" si="70"/>
        <v>24000</v>
      </c>
      <c r="EY24" s="56">
        <f t="shared" si="70"/>
        <v>30350.87</v>
      </c>
      <c r="EZ24" s="56">
        <f t="shared" si="70"/>
        <v>25000</v>
      </c>
    </row>
    <row r="25" spans="1:158" ht="18.75" x14ac:dyDescent="0.25">
      <c r="A25" s="37">
        <v>15</v>
      </c>
      <c r="B25" s="37"/>
      <c r="C25" s="91" t="s">
        <v>132</v>
      </c>
      <c r="D25" s="38" t="s">
        <v>133</v>
      </c>
      <c r="E25" s="39"/>
      <c r="F25" s="40">
        <v>166.89</v>
      </c>
      <c r="G25" s="40">
        <v>0</v>
      </c>
      <c r="H25" s="40">
        <v>166.89</v>
      </c>
      <c r="I25" s="40">
        <v>0</v>
      </c>
      <c r="J25" s="41">
        <v>689</v>
      </c>
      <c r="K25" s="41">
        <v>0</v>
      </c>
      <c r="L25" s="41">
        <v>0</v>
      </c>
      <c r="M25" s="41">
        <f t="shared" si="62"/>
        <v>689</v>
      </c>
      <c r="N25" s="41"/>
      <c r="O25" s="41"/>
      <c r="P25" s="41"/>
      <c r="Q25" s="41">
        <f t="shared" si="58"/>
        <v>0</v>
      </c>
      <c r="R25" s="41">
        <f t="shared" si="59"/>
        <v>689</v>
      </c>
      <c r="S25" s="41">
        <v>0</v>
      </c>
      <c r="T25" s="92"/>
      <c r="U25" s="92"/>
      <c r="V25" s="40">
        <f>ROUND(H25*1.0583,2)</f>
        <v>176.62</v>
      </c>
      <c r="W25" s="40">
        <f>ROUND(I25*1.0327,2)</f>
        <v>0</v>
      </c>
      <c r="X25" s="43">
        <f t="shared" si="2"/>
        <v>512.38</v>
      </c>
      <c r="Y25" s="43">
        <f t="shared" si="2"/>
        <v>0</v>
      </c>
      <c r="Z25" s="43">
        <v>500</v>
      </c>
      <c r="AA25" s="43"/>
      <c r="AB25" s="43">
        <f t="shared" si="3"/>
        <v>500</v>
      </c>
      <c r="AC25" s="43">
        <f t="shared" si="4"/>
        <v>0</v>
      </c>
      <c r="AD25" s="43">
        <v>500</v>
      </c>
      <c r="AE25" s="43">
        <f>IF(Y25&gt;0,W25,S25)</f>
        <v>0</v>
      </c>
      <c r="AF25" s="43">
        <f t="shared" si="5"/>
        <v>0</v>
      </c>
      <c r="AG25" s="43">
        <f t="shared" si="6"/>
        <v>125</v>
      </c>
      <c r="AH25" s="43">
        <f t="shared" si="6"/>
        <v>0</v>
      </c>
      <c r="AI25" s="93">
        <f t="shared" si="7"/>
        <v>42</v>
      </c>
      <c r="AJ25" s="43">
        <f t="shared" si="7"/>
        <v>0</v>
      </c>
      <c r="AK25" s="43"/>
      <c r="AL25" s="43"/>
      <c r="AM25" s="43">
        <f t="shared" si="8"/>
        <v>125</v>
      </c>
      <c r="AN25" s="43">
        <f t="shared" si="9"/>
        <v>0</v>
      </c>
      <c r="AO25" s="43"/>
      <c r="AP25" s="43"/>
      <c r="AQ25" s="43">
        <f t="shared" si="10"/>
        <v>250</v>
      </c>
      <c r="AR25" s="43">
        <f t="shared" si="10"/>
        <v>0</v>
      </c>
      <c r="AS25" s="43"/>
      <c r="AT25" s="43"/>
      <c r="AU25" s="43">
        <f t="shared" si="0"/>
        <v>125</v>
      </c>
      <c r="AV25" s="43">
        <f t="shared" si="0"/>
        <v>0</v>
      </c>
      <c r="AW25" s="43"/>
      <c r="AX25" s="43"/>
      <c r="AY25" s="43">
        <f t="shared" si="11"/>
        <v>417</v>
      </c>
      <c r="AZ25" s="43">
        <f t="shared" si="11"/>
        <v>0</v>
      </c>
      <c r="BA25" s="43">
        <f t="shared" si="12"/>
        <v>417</v>
      </c>
      <c r="BB25" s="60">
        <v>252.44</v>
      </c>
      <c r="BC25" s="60"/>
      <c r="BD25" s="60">
        <f t="shared" si="13"/>
        <v>164.56</v>
      </c>
      <c r="BE25" s="60">
        <f t="shared" si="13"/>
        <v>0</v>
      </c>
      <c r="BF25" s="60">
        <f t="shared" si="14"/>
        <v>50.49</v>
      </c>
      <c r="BG25" s="60">
        <f t="shared" si="14"/>
        <v>0</v>
      </c>
      <c r="BH25" s="43">
        <v>0</v>
      </c>
      <c r="BI25" s="43">
        <v>0</v>
      </c>
      <c r="BJ25" s="43"/>
      <c r="BK25" s="43"/>
      <c r="BL25" s="43">
        <f t="shared" si="1"/>
        <v>417</v>
      </c>
      <c r="BM25" s="43">
        <f t="shared" si="1"/>
        <v>0</v>
      </c>
      <c r="BN25" s="43">
        <f t="shared" si="15"/>
        <v>417</v>
      </c>
      <c r="BO25" s="99">
        <v>215.75</v>
      </c>
      <c r="BP25" s="93"/>
      <c r="BQ25" s="43">
        <f t="shared" si="16"/>
        <v>201.25</v>
      </c>
      <c r="BR25" s="43">
        <f t="shared" si="16"/>
        <v>0</v>
      </c>
      <c r="BS25" s="43">
        <f t="shared" si="17"/>
        <v>19.61</v>
      </c>
      <c r="BT25" s="43">
        <f t="shared" si="17"/>
        <v>0</v>
      </c>
      <c r="BU25" s="43">
        <v>0</v>
      </c>
      <c r="BV25" s="43">
        <f t="shared" si="60"/>
        <v>0</v>
      </c>
      <c r="BW25" s="43"/>
      <c r="BX25" s="43"/>
      <c r="BY25" s="43"/>
      <c r="BZ25" s="43"/>
      <c r="CA25" s="43">
        <v>417</v>
      </c>
      <c r="CB25" s="43">
        <v>0</v>
      </c>
      <c r="CC25" s="92">
        <v>458.7</v>
      </c>
      <c r="CD25" s="92">
        <v>0</v>
      </c>
      <c r="CE25" s="92">
        <v>38</v>
      </c>
      <c r="CF25" s="92">
        <v>0</v>
      </c>
      <c r="CG25" s="92">
        <f t="shared" si="19"/>
        <v>104.25</v>
      </c>
      <c r="CH25" s="92">
        <f t="shared" si="19"/>
        <v>0</v>
      </c>
      <c r="CI25" s="43"/>
      <c r="CJ25" s="43"/>
      <c r="CK25" s="43">
        <v>120</v>
      </c>
      <c r="CL25" s="43">
        <v>0</v>
      </c>
      <c r="CM25" s="43"/>
      <c r="CN25" s="43"/>
      <c r="CO25" s="43">
        <v>550</v>
      </c>
      <c r="CP25" s="43"/>
      <c r="CQ25" s="43">
        <f t="shared" si="20"/>
        <v>480</v>
      </c>
      <c r="CR25" s="43">
        <f t="shared" si="20"/>
        <v>0</v>
      </c>
      <c r="CS25" s="43">
        <f t="shared" si="21"/>
        <v>480</v>
      </c>
      <c r="CT25" s="43">
        <f t="shared" si="21"/>
        <v>0</v>
      </c>
      <c r="CU25" s="43">
        <v>480</v>
      </c>
      <c r="CV25" s="43">
        <v>0</v>
      </c>
      <c r="CW25" s="43">
        <f t="shared" si="22"/>
        <v>120</v>
      </c>
      <c r="CX25" s="43">
        <f t="shared" si="22"/>
        <v>0</v>
      </c>
      <c r="CY25" s="43"/>
      <c r="CZ25" s="43"/>
      <c r="DA25" s="43">
        <f t="shared" si="23"/>
        <v>278</v>
      </c>
      <c r="DB25" s="43">
        <f t="shared" si="23"/>
        <v>0</v>
      </c>
      <c r="DC25" s="43">
        <v>210.4</v>
      </c>
      <c r="DD25" s="43"/>
      <c r="DE25" s="43">
        <f t="shared" si="24"/>
        <v>67.599999999999994</v>
      </c>
      <c r="DF25" s="43">
        <f t="shared" si="24"/>
        <v>0</v>
      </c>
      <c r="DG25" s="43">
        <f>ROUND(0.25*(MIN(CU25,EW25)),2)</f>
        <v>100</v>
      </c>
      <c r="DH25" s="43">
        <f>ROUND(0.25*(MIN(CV25,EX25)),2)</f>
        <v>0</v>
      </c>
      <c r="DI25" s="43">
        <f>+DG25-DE25</f>
        <v>32.400000000000006</v>
      </c>
      <c r="DJ25" s="43">
        <f>+DH25-DF25</f>
        <v>0</v>
      </c>
      <c r="DK25" s="43"/>
      <c r="DL25" s="43"/>
      <c r="DM25" s="43">
        <f t="shared" si="25"/>
        <v>310.39999999999998</v>
      </c>
      <c r="DN25" s="43">
        <f t="shared" si="25"/>
        <v>0</v>
      </c>
      <c r="DO25" s="94">
        <v>300.91000000000003</v>
      </c>
      <c r="DP25" s="103"/>
      <c r="DQ25" s="60">
        <f t="shared" si="26"/>
        <v>9.49</v>
      </c>
      <c r="DR25" s="60">
        <f t="shared" si="26"/>
        <v>0</v>
      </c>
      <c r="DS25" s="60">
        <f t="shared" si="27"/>
        <v>30.091000000000001</v>
      </c>
      <c r="DT25" s="60">
        <f t="shared" si="27"/>
        <v>0</v>
      </c>
      <c r="DU25" s="60">
        <f t="shared" si="28"/>
        <v>20.600999999999999</v>
      </c>
      <c r="DV25" s="60">
        <f t="shared" si="28"/>
        <v>0</v>
      </c>
      <c r="DW25" s="60"/>
      <c r="DX25" s="60"/>
      <c r="DY25" s="60">
        <f t="shared" si="29"/>
        <v>20.6</v>
      </c>
      <c r="DZ25" s="60">
        <f t="shared" si="29"/>
        <v>0</v>
      </c>
      <c r="EA25" s="60">
        <v>15</v>
      </c>
      <c r="EB25" s="60"/>
      <c r="EC25" s="43">
        <f t="shared" si="30"/>
        <v>346</v>
      </c>
      <c r="ED25" s="43">
        <f t="shared" si="30"/>
        <v>0</v>
      </c>
      <c r="EE25" s="43">
        <v>333.46000000000004</v>
      </c>
      <c r="EF25" s="43"/>
      <c r="EG25" s="43">
        <f t="shared" si="66"/>
        <v>96.38</v>
      </c>
      <c r="EH25" s="43" t="e">
        <f t="shared" si="66"/>
        <v>#DIV/0!</v>
      </c>
      <c r="EI25" s="43">
        <f t="shared" si="32"/>
        <v>12.54</v>
      </c>
      <c r="EJ25" s="43">
        <f t="shared" si="32"/>
        <v>0</v>
      </c>
      <c r="EK25" s="43">
        <f t="shared" si="33"/>
        <v>30.31</v>
      </c>
      <c r="EL25" s="43">
        <f t="shared" si="33"/>
        <v>0</v>
      </c>
      <c r="EM25" s="43">
        <f t="shared" si="34"/>
        <v>17.77</v>
      </c>
      <c r="EN25" s="43">
        <f t="shared" si="34"/>
        <v>0</v>
      </c>
      <c r="EO25" s="43">
        <v>25</v>
      </c>
      <c r="EP25" s="43">
        <v>0</v>
      </c>
      <c r="EQ25" s="5"/>
      <c r="ER25" s="5"/>
      <c r="ES25" s="5"/>
      <c r="ET25" s="5"/>
      <c r="EU25" s="5">
        <f t="shared" si="67"/>
        <v>29</v>
      </c>
      <c r="EV25" s="5">
        <f t="shared" si="67"/>
        <v>0</v>
      </c>
      <c r="EW25" s="5">
        <v>400</v>
      </c>
      <c r="EY25" s="5">
        <v>450</v>
      </c>
    </row>
    <row r="26" spans="1:158" ht="18.75" x14ac:dyDescent="0.25">
      <c r="A26" s="68"/>
      <c r="B26" s="68" t="s">
        <v>134</v>
      </c>
      <c r="C26" s="91" t="s">
        <v>122</v>
      </c>
      <c r="D26" s="67" t="s">
        <v>123</v>
      </c>
      <c r="E26" s="69" t="s">
        <v>135</v>
      </c>
      <c r="F26" s="70">
        <v>22604.09</v>
      </c>
      <c r="G26" s="70">
        <v>18901.61</v>
      </c>
      <c r="H26" s="70">
        <v>22763.09</v>
      </c>
      <c r="I26" s="70">
        <v>18901.61</v>
      </c>
      <c r="J26" s="71">
        <f t="shared" ref="J26:AA26" si="72">+J24+J25</f>
        <v>25381.51</v>
      </c>
      <c r="K26" s="71">
        <f t="shared" si="72"/>
        <v>0</v>
      </c>
      <c r="L26" s="71">
        <f t="shared" si="72"/>
        <v>0</v>
      </c>
      <c r="M26" s="71">
        <f t="shared" si="72"/>
        <v>25381.51</v>
      </c>
      <c r="N26" s="71">
        <f t="shared" si="72"/>
        <v>126.47999999999999</v>
      </c>
      <c r="O26" s="71">
        <f t="shared" si="72"/>
        <v>0</v>
      </c>
      <c r="P26" s="71">
        <f t="shared" si="72"/>
        <v>0</v>
      </c>
      <c r="Q26" s="71">
        <f t="shared" si="72"/>
        <v>126.47999999999999</v>
      </c>
      <c r="R26" s="71">
        <f t="shared" si="72"/>
        <v>25507.989999999998</v>
      </c>
      <c r="S26" s="71">
        <f t="shared" si="72"/>
        <v>21000</v>
      </c>
      <c r="T26" s="71">
        <f t="shared" si="72"/>
        <v>0</v>
      </c>
      <c r="U26" s="71">
        <f t="shared" si="72"/>
        <v>0</v>
      </c>
      <c r="V26" s="71">
        <f t="shared" si="72"/>
        <v>24090.169999999995</v>
      </c>
      <c r="W26" s="71">
        <f t="shared" si="72"/>
        <v>19519.689999999999</v>
      </c>
      <c r="X26" s="71">
        <f t="shared" si="72"/>
        <v>1417.8200000000015</v>
      </c>
      <c r="Y26" s="71">
        <f t="shared" si="72"/>
        <v>1480.3100000000013</v>
      </c>
      <c r="Z26" s="71">
        <f t="shared" si="72"/>
        <v>24313.549999999996</v>
      </c>
      <c r="AA26" s="71">
        <f t="shared" si="72"/>
        <v>100</v>
      </c>
      <c r="AB26" s="70">
        <f t="shared" si="3"/>
        <v>24413.549999999996</v>
      </c>
      <c r="AC26" s="43">
        <f t="shared" si="4"/>
        <v>0</v>
      </c>
      <c r="AD26" s="70">
        <f t="shared" ref="AD26:CP26" si="73">+AD24+AD25</f>
        <v>24413.549999999996</v>
      </c>
      <c r="AE26" s="70">
        <f t="shared" si="73"/>
        <v>20019.689999999999</v>
      </c>
      <c r="AF26" s="70">
        <f t="shared" si="73"/>
        <v>18946.2</v>
      </c>
      <c r="AG26" s="70">
        <f t="shared" si="73"/>
        <v>6104</v>
      </c>
      <c r="AH26" s="70">
        <f t="shared" si="73"/>
        <v>5005</v>
      </c>
      <c r="AI26" s="96">
        <f t="shared" si="73"/>
        <v>2035</v>
      </c>
      <c r="AJ26" s="70">
        <f t="shared" si="73"/>
        <v>1668</v>
      </c>
      <c r="AK26" s="70">
        <f t="shared" si="73"/>
        <v>0</v>
      </c>
      <c r="AL26" s="70">
        <f t="shared" si="73"/>
        <v>0</v>
      </c>
      <c r="AM26" s="70">
        <f t="shared" si="73"/>
        <v>6103.39</v>
      </c>
      <c r="AN26" s="70">
        <f t="shared" si="73"/>
        <v>4874.79</v>
      </c>
      <c r="AO26" s="70">
        <f t="shared" si="73"/>
        <v>0</v>
      </c>
      <c r="AP26" s="70">
        <f t="shared" si="73"/>
        <v>0</v>
      </c>
      <c r="AQ26" s="70">
        <f t="shared" si="73"/>
        <v>12207.390000000001</v>
      </c>
      <c r="AR26" s="70">
        <f t="shared" si="73"/>
        <v>9879.7900000000009</v>
      </c>
      <c r="AS26" s="70">
        <f t="shared" si="73"/>
        <v>300</v>
      </c>
      <c r="AT26" s="70">
        <f t="shared" si="73"/>
        <v>0</v>
      </c>
      <c r="AU26" s="70">
        <f t="shared" si="73"/>
        <v>6859.6</v>
      </c>
      <c r="AV26" s="70">
        <f t="shared" si="73"/>
        <v>7000</v>
      </c>
      <c r="AW26" s="70">
        <f t="shared" si="73"/>
        <v>0</v>
      </c>
      <c r="AX26" s="70">
        <f t="shared" si="73"/>
        <v>0</v>
      </c>
      <c r="AY26" s="70">
        <f t="shared" si="73"/>
        <v>21401.99</v>
      </c>
      <c r="AZ26" s="70">
        <f t="shared" si="73"/>
        <v>18547.79</v>
      </c>
      <c r="BA26" s="70">
        <f t="shared" si="73"/>
        <v>39949.780000000006</v>
      </c>
      <c r="BB26" s="70">
        <f t="shared" si="73"/>
        <v>20144.580000000002</v>
      </c>
      <c r="BC26" s="70">
        <f t="shared" si="73"/>
        <v>18544.14</v>
      </c>
      <c r="BD26" s="70">
        <f t="shared" si="73"/>
        <v>1257.4100000000003</v>
      </c>
      <c r="BE26" s="70">
        <f t="shared" si="73"/>
        <v>3.6500000000014552</v>
      </c>
      <c r="BF26" s="70">
        <f t="shared" si="73"/>
        <v>4028.92</v>
      </c>
      <c r="BG26" s="96">
        <f t="shared" si="73"/>
        <v>3708.83</v>
      </c>
      <c r="BH26" s="96">
        <f t="shared" si="73"/>
        <v>2494.0099999999998</v>
      </c>
      <c r="BI26" s="96">
        <f t="shared" si="73"/>
        <v>2000</v>
      </c>
      <c r="BJ26" s="96">
        <f t="shared" si="73"/>
        <v>0</v>
      </c>
      <c r="BK26" s="96">
        <f t="shared" si="73"/>
        <v>0</v>
      </c>
      <c r="BL26" s="96">
        <f t="shared" si="73"/>
        <v>23896</v>
      </c>
      <c r="BM26" s="96">
        <f t="shared" si="73"/>
        <v>20547.79</v>
      </c>
      <c r="BN26" s="96">
        <f t="shared" si="73"/>
        <v>44443.79</v>
      </c>
      <c r="BO26" s="96">
        <f t="shared" si="73"/>
        <v>22395</v>
      </c>
      <c r="BP26" s="96">
        <f t="shared" si="73"/>
        <v>20023.29</v>
      </c>
      <c r="BQ26" s="70">
        <f t="shared" si="73"/>
        <v>1501.0000000000016</v>
      </c>
      <c r="BR26" s="70">
        <f t="shared" si="73"/>
        <v>524.5</v>
      </c>
      <c r="BS26" s="70">
        <f t="shared" si="73"/>
        <v>2035.9099999999999</v>
      </c>
      <c r="BT26" s="70">
        <f t="shared" si="73"/>
        <v>1820.3</v>
      </c>
      <c r="BU26" s="70">
        <f t="shared" si="73"/>
        <v>716.55000000000007</v>
      </c>
      <c r="BV26" s="70">
        <f t="shared" si="73"/>
        <v>1245.8</v>
      </c>
      <c r="BW26" s="70">
        <f t="shared" si="73"/>
        <v>1069.47</v>
      </c>
      <c r="BX26" s="70">
        <f t="shared" si="73"/>
        <v>404</v>
      </c>
      <c r="BY26" s="70">
        <f t="shared" si="73"/>
        <v>0</v>
      </c>
      <c r="BZ26" s="70">
        <f t="shared" si="73"/>
        <v>0</v>
      </c>
      <c r="CA26" s="70">
        <f t="shared" si="73"/>
        <v>25682.02</v>
      </c>
      <c r="CB26" s="70">
        <f t="shared" si="73"/>
        <v>22197.59</v>
      </c>
      <c r="CC26" s="70">
        <f t="shared" si="73"/>
        <v>28250.23</v>
      </c>
      <c r="CD26" s="70">
        <f t="shared" si="73"/>
        <v>25527.23</v>
      </c>
      <c r="CE26" s="70">
        <f t="shared" si="73"/>
        <v>2354</v>
      </c>
      <c r="CF26" s="70">
        <f t="shared" si="73"/>
        <v>2127</v>
      </c>
      <c r="CG26" s="70">
        <f t="shared" si="73"/>
        <v>6420.51</v>
      </c>
      <c r="CH26" s="96">
        <f t="shared" si="73"/>
        <v>5549.4</v>
      </c>
      <c r="CI26" s="70">
        <f t="shared" si="73"/>
        <v>0</v>
      </c>
      <c r="CJ26" s="70">
        <f t="shared" si="73"/>
        <v>0</v>
      </c>
      <c r="CK26" s="70">
        <f t="shared" si="73"/>
        <v>6565</v>
      </c>
      <c r="CL26" s="70">
        <f t="shared" si="73"/>
        <v>5500</v>
      </c>
      <c r="CM26" s="70">
        <f t="shared" si="73"/>
        <v>0</v>
      </c>
      <c r="CN26" s="70">
        <f t="shared" si="73"/>
        <v>0</v>
      </c>
      <c r="CO26" s="70">
        <f t="shared" si="73"/>
        <v>33848.82</v>
      </c>
      <c r="CP26" s="70">
        <f t="shared" si="73"/>
        <v>23023</v>
      </c>
      <c r="CQ26" s="70">
        <f t="shared" ref="CQ26:FA26" si="74">+CQ24+CQ25</f>
        <v>26260</v>
      </c>
      <c r="CR26" s="70">
        <f t="shared" si="74"/>
        <v>22000</v>
      </c>
      <c r="CS26" s="70">
        <f t="shared" si="74"/>
        <v>26238</v>
      </c>
      <c r="CT26" s="70">
        <f t="shared" si="74"/>
        <v>22000</v>
      </c>
      <c r="CU26" s="70">
        <f t="shared" si="74"/>
        <v>26329.41</v>
      </c>
      <c r="CV26" s="70">
        <f t="shared" si="74"/>
        <v>22000</v>
      </c>
      <c r="CW26" s="70">
        <f t="shared" si="74"/>
        <v>6559.5</v>
      </c>
      <c r="CX26" s="70">
        <f t="shared" si="74"/>
        <v>5500</v>
      </c>
      <c r="CY26" s="70">
        <f t="shared" si="74"/>
        <v>0</v>
      </c>
      <c r="CZ26" s="70">
        <f t="shared" si="74"/>
        <v>250</v>
      </c>
      <c r="DA26" s="70">
        <f t="shared" si="74"/>
        <v>15478.5</v>
      </c>
      <c r="DB26" s="70">
        <f t="shared" si="74"/>
        <v>13377</v>
      </c>
      <c r="DC26" s="70">
        <f t="shared" si="74"/>
        <v>14226.4</v>
      </c>
      <c r="DD26" s="70">
        <f t="shared" si="74"/>
        <v>13408.74</v>
      </c>
      <c r="DE26" s="70">
        <f t="shared" si="74"/>
        <v>1252.0999999999999</v>
      </c>
      <c r="DF26" s="70">
        <f t="shared" si="74"/>
        <v>-31.739999999999782</v>
      </c>
      <c r="DG26" s="70">
        <f t="shared" si="74"/>
        <v>6562.35</v>
      </c>
      <c r="DH26" s="70">
        <f t="shared" si="74"/>
        <v>5500</v>
      </c>
      <c r="DI26" s="70">
        <f t="shared" si="74"/>
        <v>5310.25</v>
      </c>
      <c r="DJ26" s="70">
        <f t="shared" si="74"/>
        <v>5531.74</v>
      </c>
      <c r="DK26" s="70">
        <f t="shared" si="74"/>
        <v>500</v>
      </c>
      <c r="DL26" s="70">
        <f t="shared" si="74"/>
        <v>0</v>
      </c>
      <c r="DM26" s="70">
        <f t="shared" si="74"/>
        <v>21288.75</v>
      </c>
      <c r="DN26" s="70">
        <f t="shared" si="74"/>
        <v>18908.739999999998</v>
      </c>
      <c r="DO26" s="97">
        <f t="shared" si="74"/>
        <v>21614.719999999998</v>
      </c>
      <c r="DP26" s="98">
        <f t="shared" si="74"/>
        <v>18866.599999999999</v>
      </c>
      <c r="DQ26" s="98">
        <f t="shared" si="74"/>
        <v>-325.96999999999997</v>
      </c>
      <c r="DR26" s="98">
        <f t="shared" si="74"/>
        <v>42.14</v>
      </c>
      <c r="DS26" s="98">
        <f t="shared" si="74"/>
        <v>2161.4719999999998</v>
      </c>
      <c r="DT26" s="98">
        <f t="shared" si="74"/>
        <v>1886.6599999999999</v>
      </c>
      <c r="DU26" s="98">
        <f t="shared" si="74"/>
        <v>2487.442</v>
      </c>
      <c r="DV26" s="98">
        <f t="shared" si="74"/>
        <v>1844.5199999999998</v>
      </c>
      <c r="DW26" s="98">
        <f t="shared" si="74"/>
        <v>1000</v>
      </c>
      <c r="DX26" s="98">
        <f t="shared" si="74"/>
        <v>600</v>
      </c>
      <c r="DY26" s="98">
        <f t="shared" si="74"/>
        <v>2487.4499999999998</v>
      </c>
      <c r="DZ26" s="98">
        <f t="shared" si="74"/>
        <v>1900</v>
      </c>
      <c r="EA26" s="98">
        <f t="shared" si="74"/>
        <v>15</v>
      </c>
      <c r="EB26" s="134">
        <f t="shared" si="74"/>
        <v>0</v>
      </c>
      <c r="EC26" s="140">
        <f t="shared" si="74"/>
        <v>23791.200000000001</v>
      </c>
      <c r="ED26" s="140">
        <f t="shared" si="74"/>
        <v>20808.739999999998</v>
      </c>
      <c r="EE26" s="140">
        <f t="shared" si="74"/>
        <v>23569.8</v>
      </c>
      <c r="EF26" s="140">
        <f t="shared" si="74"/>
        <v>20808.63</v>
      </c>
      <c r="EG26" s="140" t="e">
        <f t="shared" si="74"/>
        <v>#DIV/0!</v>
      </c>
      <c r="EH26" s="140" t="e">
        <f t="shared" si="74"/>
        <v>#DIV/0!</v>
      </c>
      <c r="EI26" s="140">
        <f t="shared" si="74"/>
        <v>221.39999999999998</v>
      </c>
      <c r="EJ26" s="140">
        <f t="shared" si="74"/>
        <v>0.11</v>
      </c>
      <c r="EK26" s="140">
        <f t="shared" si="74"/>
        <v>2142.6999999999998</v>
      </c>
      <c r="EL26" s="140">
        <f t="shared" si="74"/>
        <v>1891.69</v>
      </c>
      <c r="EM26" s="140">
        <f t="shared" si="74"/>
        <v>1921.3</v>
      </c>
      <c r="EN26" s="140">
        <f t="shared" si="74"/>
        <v>1891.5800000000002</v>
      </c>
      <c r="EO26" s="140">
        <f t="shared" si="74"/>
        <v>2425</v>
      </c>
      <c r="EP26" s="140">
        <f t="shared" si="74"/>
        <v>2200</v>
      </c>
      <c r="EQ26" s="136">
        <f t="shared" si="74"/>
        <v>0</v>
      </c>
      <c r="ER26" s="47">
        <f t="shared" si="74"/>
        <v>0</v>
      </c>
      <c r="ES26" s="47">
        <f t="shared" si="74"/>
        <v>0</v>
      </c>
      <c r="ET26" s="47">
        <f t="shared" si="74"/>
        <v>0</v>
      </c>
      <c r="EU26" s="5">
        <f>+EW26-EC26-EO26</f>
        <v>1233.2099999999991</v>
      </c>
      <c r="EV26" s="5">
        <f>+EX26-ED26-EP26</f>
        <v>991.26000000000204</v>
      </c>
      <c r="EW26" s="46">
        <f t="shared" si="74"/>
        <v>27449.41</v>
      </c>
      <c r="EX26" s="46">
        <f t="shared" si="74"/>
        <v>24000</v>
      </c>
      <c r="EY26" s="46">
        <f t="shared" si="74"/>
        <v>30800.87</v>
      </c>
      <c r="EZ26" s="46">
        <f t="shared" si="74"/>
        <v>25000</v>
      </c>
      <c r="FA26" s="46">
        <f t="shared" si="74"/>
        <v>0</v>
      </c>
    </row>
    <row r="27" spans="1:158" ht="18.75" x14ac:dyDescent="0.25">
      <c r="A27" s="37">
        <v>16</v>
      </c>
      <c r="B27" s="37"/>
      <c r="C27" s="91" t="s">
        <v>136</v>
      </c>
      <c r="D27" s="57" t="s">
        <v>137</v>
      </c>
      <c r="E27" s="39"/>
      <c r="F27" s="40">
        <v>3298.83</v>
      </c>
      <c r="G27" s="40">
        <v>721.8</v>
      </c>
      <c r="H27" s="40">
        <v>3298.83</v>
      </c>
      <c r="I27" s="40">
        <v>721.8</v>
      </c>
      <c r="J27" s="41">
        <v>3600</v>
      </c>
      <c r="K27" s="41">
        <v>150</v>
      </c>
      <c r="L27" s="41">
        <v>0</v>
      </c>
      <c r="M27" s="41">
        <f t="shared" si="62"/>
        <v>3750</v>
      </c>
      <c r="N27" s="41">
        <v>0</v>
      </c>
      <c r="O27" s="41">
        <v>0</v>
      </c>
      <c r="P27" s="41">
        <v>0</v>
      </c>
      <c r="Q27" s="41">
        <f t="shared" ref="Q27:Q35" si="75">N27+O27+P27</f>
        <v>0</v>
      </c>
      <c r="R27" s="41">
        <f t="shared" si="59"/>
        <v>3750</v>
      </c>
      <c r="S27" s="41">
        <v>850</v>
      </c>
      <c r="T27" s="92"/>
      <c r="U27" s="92"/>
      <c r="V27" s="40">
        <f>ROUND(H27*1.0583,2)</f>
        <v>3491.15</v>
      </c>
      <c r="W27" s="40">
        <f>ROUND(I27*1.0327,2)</f>
        <v>745.4</v>
      </c>
      <c r="X27" s="43">
        <f t="shared" si="2"/>
        <v>258.84999999999991</v>
      </c>
      <c r="Y27" s="43">
        <f t="shared" si="2"/>
        <v>104.60000000000002</v>
      </c>
      <c r="Z27" s="43">
        <v>3491.15</v>
      </c>
      <c r="AA27" s="43"/>
      <c r="AB27" s="43">
        <f t="shared" si="3"/>
        <v>3491.15</v>
      </c>
      <c r="AC27" s="43">
        <f t="shared" si="4"/>
        <v>0</v>
      </c>
      <c r="AD27" s="43">
        <f>IF(X27&gt;0,V27,R27)</f>
        <v>3491.15</v>
      </c>
      <c r="AE27" s="43">
        <f>IF(Y27&gt;0,W27,S27)</f>
        <v>745.4</v>
      </c>
      <c r="AF27" s="43">
        <f t="shared" si="5"/>
        <v>766.87</v>
      </c>
      <c r="AG27" s="43">
        <f t="shared" si="6"/>
        <v>873</v>
      </c>
      <c r="AH27" s="43">
        <f t="shared" si="6"/>
        <v>186</v>
      </c>
      <c r="AI27" s="93">
        <f t="shared" si="7"/>
        <v>291</v>
      </c>
      <c r="AJ27" s="43">
        <f t="shared" si="7"/>
        <v>62</v>
      </c>
      <c r="AK27" s="43"/>
      <c r="AL27" s="43"/>
      <c r="AM27" s="43">
        <f t="shared" si="8"/>
        <v>872.79</v>
      </c>
      <c r="AN27" s="43">
        <f t="shared" si="9"/>
        <v>181.5</v>
      </c>
      <c r="AO27" s="43"/>
      <c r="AP27" s="43"/>
      <c r="AQ27" s="43">
        <f t="shared" si="10"/>
        <v>1745.79</v>
      </c>
      <c r="AR27" s="43">
        <f t="shared" si="10"/>
        <v>367.5</v>
      </c>
      <c r="AS27" s="43"/>
      <c r="AT27" s="43"/>
      <c r="AU27" s="43">
        <f t="shared" si="0"/>
        <v>872.79</v>
      </c>
      <c r="AV27" s="43">
        <f t="shared" si="0"/>
        <v>186.35</v>
      </c>
      <c r="AW27" s="43"/>
      <c r="AX27" s="43"/>
      <c r="AY27" s="43">
        <f t="shared" si="11"/>
        <v>2909.58</v>
      </c>
      <c r="AZ27" s="43">
        <f t="shared" si="11"/>
        <v>615.85</v>
      </c>
      <c r="BA27" s="43">
        <f t="shared" si="12"/>
        <v>3525.43</v>
      </c>
      <c r="BB27" s="60">
        <v>2654.47</v>
      </c>
      <c r="BC27" s="60">
        <v>518.4</v>
      </c>
      <c r="BD27" s="60">
        <f t="shared" si="13"/>
        <v>255.11000000000013</v>
      </c>
      <c r="BE27" s="60">
        <f t="shared" si="13"/>
        <v>97.450000000000045</v>
      </c>
      <c r="BF27" s="60">
        <f t="shared" si="14"/>
        <v>530.89</v>
      </c>
      <c r="BG27" s="60">
        <f t="shared" si="14"/>
        <v>103.68</v>
      </c>
      <c r="BH27" s="43">
        <v>137.88999999999999</v>
      </c>
      <c r="BI27" s="43">
        <v>3.12</v>
      </c>
      <c r="BJ27" s="43"/>
      <c r="BK27" s="43"/>
      <c r="BL27" s="43">
        <f t="shared" si="1"/>
        <v>3047.47</v>
      </c>
      <c r="BM27" s="43">
        <f t="shared" si="1"/>
        <v>618.97</v>
      </c>
      <c r="BN27" s="43">
        <f t="shared" si="15"/>
        <v>3666.4399999999996</v>
      </c>
      <c r="BO27" s="43">
        <v>2935.25</v>
      </c>
      <c r="BP27" s="93">
        <v>558.62</v>
      </c>
      <c r="BQ27" s="43">
        <f t="shared" si="16"/>
        <v>112.2199999999998</v>
      </c>
      <c r="BR27" s="43">
        <f t="shared" si="16"/>
        <v>60.350000000000023</v>
      </c>
      <c r="BS27" s="43">
        <f t="shared" si="17"/>
        <v>266.83999999999997</v>
      </c>
      <c r="BT27" s="43">
        <f t="shared" si="17"/>
        <v>50.78</v>
      </c>
      <c r="BU27" s="43">
        <f t="shared" si="40"/>
        <v>154.62000000000018</v>
      </c>
      <c r="BV27" s="43">
        <v>0</v>
      </c>
      <c r="BW27" s="43">
        <v>15</v>
      </c>
      <c r="BX27" s="43">
        <f>55+2.67</f>
        <v>57.67</v>
      </c>
      <c r="BY27" s="43"/>
      <c r="BZ27" s="43"/>
      <c r="CA27" s="43">
        <v>3217.09</v>
      </c>
      <c r="CB27" s="43">
        <v>676.64</v>
      </c>
      <c r="CC27" s="92">
        <v>3538.8</v>
      </c>
      <c r="CD27" s="92">
        <v>778.14</v>
      </c>
      <c r="CE27" s="92">
        <v>295</v>
      </c>
      <c r="CF27" s="92">
        <v>65</v>
      </c>
      <c r="CG27" s="92">
        <f t="shared" si="19"/>
        <v>804.27</v>
      </c>
      <c r="CH27" s="92">
        <f t="shared" si="19"/>
        <v>169.16</v>
      </c>
      <c r="CI27" s="43"/>
      <c r="CJ27" s="43"/>
      <c r="CK27" s="43">
        <v>800</v>
      </c>
      <c r="CL27" s="43">
        <v>150</v>
      </c>
      <c r="CM27" s="43">
        <v>50</v>
      </c>
      <c r="CN27" s="43"/>
      <c r="CO27" s="43">
        <v>3850</v>
      </c>
      <c r="CP27" s="43">
        <v>750</v>
      </c>
      <c r="CQ27" s="43">
        <f t="shared" si="20"/>
        <v>3200</v>
      </c>
      <c r="CR27" s="43">
        <f t="shared" si="20"/>
        <v>600</v>
      </c>
      <c r="CS27" s="43">
        <v>3200</v>
      </c>
      <c r="CT27" s="43">
        <v>600</v>
      </c>
      <c r="CU27" s="43">
        <v>3200</v>
      </c>
      <c r="CV27" s="43">
        <v>600</v>
      </c>
      <c r="CW27" s="43">
        <f t="shared" si="22"/>
        <v>800</v>
      </c>
      <c r="CX27" s="43">
        <f>ROUND(CV27*25%,2)-85</f>
        <v>65</v>
      </c>
      <c r="CY27" s="43">
        <v>50</v>
      </c>
      <c r="CZ27" s="43">
        <v>0</v>
      </c>
      <c r="DA27" s="43">
        <f t="shared" si="23"/>
        <v>1995</v>
      </c>
      <c r="DB27" s="43">
        <f t="shared" si="23"/>
        <v>280</v>
      </c>
      <c r="DC27" s="43">
        <v>1911.83</v>
      </c>
      <c r="DD27" s="43">
        <v>129.68</v>
      </c>
      <c r="DE27" s="43">
        <f t="shared" si="24"/>
        <v>83.170000000000073</v>
      </c>
      <c r="DF27" s="43">
        <f t="shared" si="24"/>
        <v>150.32</v>
      </c>
      <c r="DG27" s="43">
        <f>ROUND(0.25*(MIN(CU27,EW27)),2)</f>
        <v>800</v>
      </c>
      <c r="DH27" s="43">
        <f>ROUND(0.25*(MIN(CV27,EX27)),2)</f>
        <v>86.25</v>
      </c>
      <c r="DI27" s="43">
        <f>+DG27-DE27</f>
        <v>716.82999999999993</v>
      </c>
      <c r="DJ27" s="43">
        <f>+DH27-DF27+64.07</f>
        <v>0</v>
      </c>
      <c r="DK27" s="43">
        <v>100</v>
      </c>
      <c r="DL27" s="43"/>
      <c r="DM27" s="43">
        <f t="shared" si="25"/>
        <v>2811.83</v>
      </c>
      <c r="DN27" s="43">
        <f t="shared" si="25"/>
        <v>280</v>
      </c>
      <c r="DO27" s="94">
        <v>2511.09</v>
      </c>
      <c r="DP27" s="95">
        <v>193.15</v>
      </c>
      <c r="DQ27" s="60">
        <f t="shared" si="26"/>
        <v>300.74</v>
      </c>
      <c r="DR27" s="60">
        <f t="shared" si="26"/>
        <v>86.85</v>
      </c>
      <c r="DS27" s="60">
        <f t="shared" si="27"/>
        <v>251.10900000000001</v>
      </c>
      <c r="DT27" s="60">
        <f t="shared" si="27"/>
        <v>19.315000000000001</v>
      </c>
      <c r="DU27" s="60">
        <f t="shared" si="28"/>
        <v>-49.631</v>
      </c>
      <c r="DV27" s="60">
        <f t="shared" si="28"/>
        <v>-67.534999999999997</v>
      </c>
      <c r="DW27" s="60"/>
      <c r="DX27" s="60"/>
      <c r="DY27" s="60">
        <v>0</v>
      </c>
      <c r="DZ27" s="60">
        <v>0</v>
      </c>
      <c r="EA27" s="60">
        <v>300</v>
      </c>
      <c r="EB27" s="60"/>
      <c r="EC27" s="43">
        <f t="shared" si="30"/>
        <v>3111.83</v>
      </c>
      <c r="ED27" s="43">
        <f t="shared" si="30"/>
        <v>280</v>
      </c>
      <c r="EE27" s="43">
        <v>3056.91</v>
      </c>
      <c r="EF27" s="43">
        <v>208.86</v>
      </c>
      <c r="EG27" s="43">
        <f t="shared" si="66"/>
        <v>98.24</v>
      </c>
      <c r="EH27" s="43">
        <f t="shared" si="66"/>
        <v>74.59</v>
      </c>
      <c r="EI27" s="43">
        <f t="shared" si="32"/>
        <v>54.92</v>
      </c>
      <c r="EJ27" s="43">
        <f t="shared" si="32"/>
        <v>71.14</v>
      </c>
      <c r="EK27" s="43">
        <f t="shared" si="33"/>
        <v>277.89999999999998</v>
      </c>
      <c r="EL27" s="43">
        <f t="shared" si="33"/>
        <v>18.989999999999998</v>
      </c>
      <c r="EM27" s="43">
        <f t="shared" si="34"/>
        <v>222.97999999999996</v>
      </c>
      <c r="EN27" s="43">
        <f t="shared" si="34"/>
        <v>-52.150000000000006</v>
      </c>
      <c r="EO27" s="43">
        <v>290</v>
      </c>
      <c r="EP27" s="43">
        <v>0</v>
      </c>
      <c r="EQ27" s="5"/>
      <c r="ER27" s="5"/>
      <c r="ES27" s="5"/>
      <c r="ET27" s="5"/>
      <c r="EU27" s="5">
        <f t="shared" ref="EU27:EV27" si="76">+EW27-EC27-EO27</f>
        <v>-1.8299999999999272</v>
      </c>
      <c r="EV27" s="5">
        <f t="shared" si="76"/>
        <v>65</v>
      </c>
      <c r="EW27" s="5">
        <v>3400</v>
      </c>
      <c r="EX27" s="5">
        <v>345</v>
      </c>
      <c r="EY27" s="5">
        <v>3800</v>
      </c>
      <c r="EZ27" s="5">
        <v>720</v>
      </c>
    </row>
    <row r="28" spans="1:158" ht="37.5" x14ac:dyDescent="0.25">
      <c r="A28" s="37">
        <v>17</v>
      </c>
      <c r="B28" s="37"/>
      <c r="C28" s="91" t="s">
        <v>136</v>
      </c>
      <c r="D28" s="38" t="s">
        <v>138</v>
      </c>
      <c r="E28" s="39"/>
      <c r="F28" s="40">
        <v>1030.97</v>
      </c>
      <c r="G28" s="40">
        <v>0</v>
      </c>
      <c r="H28" s="40">
        <v>1030.97</v>
      </c>
      <c r="I28" s="40">
        <v>0</v>
      </c>
      <c r="J28" s="41">
        <v>1250</v>
      </c>
      <c r="K28" s="41">
        <v>0</v>
      </c>
      <c r="L28" s="41">
        <v>0</v>
      </c>
      <c r="M28" s="41">
        <f t="shared" si="62"/>
        <v>1250</v>
      </c>
      <c r="N28" s="41">
        <v>0</v>
      </c>
      <c r="O28" s="41">
        <v>0</v>
      </c>
      <c r="P28" s="41">
        <v>0</v>
      </c>
      <c r="Q28" s="41">
        <f t="shared" si="75"/>
        <v>0</v>
      </c>
      <c r="R28" s="41">
        <f t="shared" si="59"/>
        <v>1250</v>
      </c>
      <c r="S28" s="41">
        <v>0</v>
      </c>
      <c r="T28" s="92"/>
      <c r="U28" s="92"/>
      <c r="V28" s="40">
        <f>ROUND(H28*1.0583,2)</f>
        <v>1091.08</v>
      </c>
      <c r="W28" s="40">
        <f>ROUND(I28*1.0327,2)</f>
        <v>0</v>
      </c>
      <c r="X28" s="43">
        <f t="shared" si="2"/>
        <v>158.92000000000007</v>
      </c>
      <c r="Y28" s="43">
        <f t="shared" si="2"/>
        <v>0</v>
      </c>
      <c r="Z28" s="43">
        <v>1091.08</v>
      </c>
      <c r="AA28" s="43"/>
      <c r="AB28" s="43">
        <f t="shared" si="3"/>
        <v>1091.08</v>
      </c>
      <c r="AC28" s="43">
        <f t="shared" si="4"/>
        <v>0</v>
      </c>
      <c r="AD28" s="43">
        <f>IF(X28&gt;0,V28,R28)</f>
        <v>1091.08</v>
      </c>
      <c r="AE28" s="43">
        <f>IF(Y28&gt;0,W28,S28)</f>
        <v>0</v>
      </c>
      <c r="AF28" s="43">
        <f t="shared" si="5"/>
        <v>0</v>
      </c>
      <c r="AG28" s="43">
        <f t="shared" si="6"/>
        <v>273</v>
      </c>
      <c r="AH28" s="43">
        <f t="shared" si="6"/>
        <v>0</v>
      </c>
      <c r="AI28" s="93">
        <f t="shared" si="7"/>
        <v>91</v>
      </c>
      <c r="AJ28" s="43">
        <f t="shared" si="7"/>
        <v>0</v>
      </c>
      <c r="AK28" s="43"/>
      <c r="AL28" s="43"/>
      <c r="AM28" s="43">
        <f t="shared" si="8"/>
        <v>272.77</v>
      </c>
      <c r="AN28" s="43">
        <f t="shared" si="9"/>
        <v>0</v>
      </c>
      <c r="AO28" s="43"/>
      <c r="AP28" s="43"/>
      <c r="AQ28" s="43">
        <f t="shared" si="10"/>
        <v>545.77</v>
      </c>
      <c r="AR28" s="43">
        <f t="shared" si="10"/>
        <v>0</v>
      </c>
      <c r="AS28" s="43"/>
      <c r="AT28" s="43"/>
      <c r="AU28" s="43">
        <f t="shared" si="0"/>
        <v>272.77</v>
      </c>
      <c r="AV28" s="43">
        <f t="shared" si="0"/>
        <v>0</v>
      </c>
      <c r="AW28" s="43"/>
      <c r="AX28" s="43"/>
      <c r="AY28" s="43">
        <f t="shared" si="11"/>
        <v>909.54</v>
      </c>
      <c r="AZ28" s="43">
        <f t="shared" si="11"/>
        <v>0</v>
      </c>
      <c r="BA28" s="43">
        <f t="shared" si="12"/>
        <v>909.54</v>
      </c>
      <c r="BB28" s="60">
        <v>856</v>
      </c>
      <c r="BC28" s="60"/>
      <c r="BD28" s="60">
        <f t="shared" si="13"/>
        <v>53.539999999999964</v>
      </c>
      <c r="BE28" s="60">
        <f t="shared" si="13"/>
        <v>0</v>
      </c>
      <c r="BF28" s="60">
        <f t="shared" si="14"/>
        <v>171.2</v>
      </c>
      <c r="BG28" s="60">
        <f t="shared" si="14"/>
        <v>0</v>
      </c>
      <c r="BH28" s="43">
        <v>30.23</v>
      </c>
      <c r="BI28" s="43">
        <v>0</v>
      </c>
      <c r="BJ28" s="43"/>
      <c r="BK28" s="43"/>
      <c r="BL28" s="43">
        <f t="shared" si="1"/>
        <v>939.77</v>
      </c>
      <c r="BM28" s="43">
        <f t="shared" si="1"/>
        <v>0</v>
      </c>
      <c r="BN28" s="43">
        <f t="shared" si="15"/>
        <v>939.77</v>
      </c>
      <c r="BO28" s="43">
        <v>856</v>
      </c>
      <c r="BP28" s="93"/>
      <c r="BQ28" s="43">
        <f t="shared" si="16"/>
        <v>83.769999999999982</v>
      </c>
      <c r="BR28" s="43">
        <f t="shared" si="16"/>
        <v>0</v>
      </c>
      <c r="BS28" s="43">
        <f t="shared" si="17"/>
        <v>77.819999999999993</v>
      </c>
      <c r="BT28" s="43">
        <f t="shared" si="17"/>
        <v>0</v>
      </c>
      <c r="BU28" s="43">
        <v>-5.95</v>
      </c>
      <c r="BV28" s="43">
        <f t="shared" si="60"/>
        <v>0</v>
      </c>
      <c r="BW28" s="43">
        <v>4.88</v>
      </c>
      <c r="BX28" s="43"/>
      <c r="BY28" s="43"/>
      <c r="BZ28" s="43"/>
      <c r="CA28" s="43">
        <v>938.69999999999993</v>
      </c>
      <c r="CB28" s="43">
        <v>0</v>
      </c>
      <c r="CC28" s="92">
        <v>1032.57</v>
      </c>
      <c r="CD28" s="92">
        <v>0</v>
      </c>
      <c r="CE28" s="92">
        <v>86</v>
      </c>
      <c r="CF28" s="92">
        <v>0</v>
      </c>
      <c r="CG28" s="92">
        <f t="shared" si="19"/>
        <v>234.68</v>
      </c>
      <c r="CH28" s="92">
        <f t="shared" si="19"/>
        <v>0</v>
      </c>
      <c r="CI28" s="43"/>
      <c r="CJ28" s="43"/>
      <c r="CK28" s="43">
        <v>200</v>
      </c>
      <c r="CL28" s="43"/>
      <c r="CM28" s="43"/>
      <c r="CN28" s="43"/>
      <c r="CO28" s="43">
        <v>1100</v>
      </c>
      <c r="CP28" s="43"/>
      <c r="CQ28" s="43">
        <f t="shared" si="20"/>
        <v>800</v>
      </c>
      <c r="CR28" s="43">
        <f t="shared" si="20"/>
        <v>0</v>
      </c>
      <c r="CS28" s="43">
        <v>800</v>
      </c>
      <c r="CT28" s="43">
        <v>0</v>
      </c>
      <c r="CU28" s="43">
        <v>800</v>
      </c>
      <c r="CV28" s="43">
        <v>0</v>
      </c>
      <c r="CW28" s="43">
        <f t="shared" si="22"/>
        <v>200</v>
      </c>
      <c r="CX28" s="43">
        <f t="shared" si="22"/>
        <v>0</v>
      </c>
      <c r="CY28" s="43"/>
      <c r="CZ28" s="43"/>
      <c r="DA28" s="43">
        <f t="shared" si="23"/>
        <v>486</v>
      </c>
      <c r="DB28" s="43">
        <f t="shared" si="23"/>
        <v>0</v>
      </c>
      <c r="DC28" s="43">
        <v>476</v>
      </c>
      <c r="DD28" s="43">
        <v>0</v>
      </c>
      <c r="DE28" s="43">
        <f t="shared" si="24"/>
        <v>10</v>
      </c>
      <c r="DF28" s="43">
        <f t="shared" si="24"/>
        <v>0</v>
      </c>
      <c r="DG28" s="43">
        <f>ROUND(0.25*(MIN(CU28,EW28)),2)</f>
        <v>200</v>
      </c>
      <c r="DH28" s="43">
        <f>ROUND(0.25*(MIN(CV28,EX28)),2)</f>
        <v>0</v>
      </c>
      <c r="DI28" s="43">
        <f>+DG28-DE28</f>
        <v>190</v>
      </c>
      <c r="DJ28" s="43">
        <f>+DH28-DF28</f>
        <v>0</v>
      </c>
      <c r="DK28" s="43"/>
      <c r="DL28" s="43"/>
      <c r="DM28" s="43">
        <f t="shared" si="25"/>
        <v>676</v>
      </c>
      <c r="DN28" s="43">
        <f t="shared" si="25"/>
        <v>0</v>
      </c>
      <c r="DO28" s="94">
        <f>616+52</f>
        <v>668</v>
      </c>
      <c r="DP28" s="95">
        <v>0</v>
      </c>
      <c r="DQ28" s="60">
        <f t="shared" si="26"/>
        <v>8</v>
      </c>
      <c r="DR28" s="60">
        <f t="shared" si="26"/>
        <v>0</v>
      </c>
      <c r="DS28" s="60">
        <f t="shared" si="27"/>
        <v>66.8</v>
      </c>
      <c r="DT28" s="60">
        <f t="shared" si="27"/>
        <v>0</v>
      </c>
      <c r="DU28" s="60">
        <f t="shared" si="28"/>
        <v>58.8</v>
      </c>
      <c r="DV28" s="60">
        <f t="shared" si="28"/>
        <v>0</v>
      </c>
      <c r="DW28" s="60"/>
      <c r="DX28" s="60"/>
      <c r="DY28" s="60">
        <v>150</v>
      </c>
      <c r="DZ28" s="60">
        <f t="shared" si="29"/>
        <v>0</v>
      </c>
      <c r="EA28" s="60"/>
      <c r="EB28" s="60"/>
      <c r="EC28" s="43">
        <f t="shared" si="30"/>
        <v>826</v>
      </c>
      <c r="ED28" s="43">
        <f t="shared" si="30"/>
        <v>0</v>
      </c>
      <c r="EE28" s="43">
        <v>668</v>
      </c>
      <c r="EF28" s="43">
        <v>0</v>
      </c>
      <c r="EG28" s="43">
        <f t="shared" si="66"/>
        <v>80.87</v>
      </c>
      <c r="EH28" s="43" t="e">
        <f t="shared" si="66"/>
        <v>#DIV/0!</v>
      </c>
      <c r="EI28" s="43">
        <f t="shared" si="32"/>
        <v>158</v>
      </c>
      <c r="EJ28" s="43">
        <f t="shared" si="32"/>
        <v>0</v>
      </c>
      <c r="EK28" s="43">
        <f t="shared" si="33"/>
        <v>60.73</v>
      </c>
      <c r="EL28" s="43">
        <f t="shared" si="33"/>
        <v>0</v>
      </c>
      <c r="EM28" s="43">
        <f t="shared" si="34"/>
        <v>-97.27000000000001</v>
      </c>
      <c r="EN28" s="43">
        <f t="shared" si="34"/>
        <v>0</v>
      </c>
      <c r="EO28" s="43">
        <v>100</v>
      </c>
      <c r="EP28" s="43">
        <v>0</v>
      </c>
      <c r="EQ28" s="5"/>
      <c r="ER28" s="5"/>
      <c r="ES28" s="45">
        <v>274</v>
      </c>
      <c r="ET28" s="5"/>
      <c r="EU28" s="5">
        <f>+EW28-EC28-EO28</f>
        <v>24</v>
      </c>
      <c r="EV28" s="5">
        <f>+EX28-ED28-EP28</f>
        <v>0</v>
      </c>
      <c r="EW28" s="5">
        <v>950</v>
      </c>
      <c r="EY28" s="58">
        <f>110+960</f>
        <v>1070</v>
      </c>
    </row>
    <row r="29" spans="1:158" ht="18.75" x14ac:dyDescent="0.25">
      <c r="A29" s="68"/>
      <c r="B29" s="68" t="s">
        <v>139</v>
      </c>
      <c r="C29" s="91" t="s">
        <v>136</v>
      </c>
      <c r="D29" s="67" t="s">
        <v>137</v>
      </c>
      <c r="E29" s="69" t="s">
        <v>140</v>
      </c>
      <c r="F29" s="70">
        <v>4329.8</v>
      </c>
      <c r="G29" s="70">
        <v>721.8</v>
      </c>
      <c r="H29" s="70">
        <v>4329.8</v>
      </c>
      <c r="I29" s="70">
        <v>721.8</v>
      </c>
      <c r="J29" s="71">
        <f t="shared" ref="J29:AA29" si="77">+J27+J28</f>
        <v>4850</v>
      </c>
      <c r="K29" s="71">
        <f t="shared" si="77"/>
        <v>150</v>
      </c>
      <c r="L29" s="71">
        <f t="shared" si="77"/>
        <v>0</v>
      </c>
      <c r="M29" s="71">
        <f t="shared" si="77"/>
        <v>5000</v>
      </c>
      <c r="N29" s="71">
        <f t="shared" si="77"/>
        <v>0</v>
      </c>
      <c r="O29" s="71">
        <f t="shared" si="77"/>
        <v>0</v>
      </c>
      <c r="P29" s="71">
        <f t="shared" si="77"/>
        <v>0</v>
      </c>
      <c r="Q29" s="71">
        <f t="shared" si="77"/>
        <v>0</v>
      </c>
      <c r="R29" s="71">
        <f t="shared" si="77"/>
        <v>5000</v>
      </c>
      <c r="S29" s="71">
        <f t="shared" si="77"/>
        <v>850</v>
      </c>
      <c r="T29" s="71">
        <f t="shared" si="77"/>
        <v>0</v>
      </c>
      <c r="U29" s="71">
        <f t="shared" si="77"/>
        <v>0</v>
      </c>
      <c r="V29" s="71">
        <f t="shared" si="77"/>
        <v>4582.2299999999996</v>
      </c>
      <c r="W29" s="71">
        <f t="shared" si="77"/>
        <v>745.4</v>
      </c>
      <c r="X29" s="71">
        <f t="shared" si="77"/>
        <v>417.77</v>
      </c>
      <c r="Y29" s="71">
        <f t="shared" si="77"/>
        <v>104.60000000000002</v>
      </c>
      <c r="Z29" s="71">
        <f t="shared" si="77"/>
        <v>4582.2299999999996</v>
      </c>
      <c r="AA29" s="71">
        <f t="shared" si="77"/>
        <v>0</v>
      </c>
      <c r="AB29" s="70">
        <f t="shared" si="3"/>
        <v>4582.2299999999996</v>
      </c>
      <c r="AC29" s="43">
        <f t="shared" si="4"/>
        <v>0</v>
      </c>
      <c r="AD29" s="70">
        <f t="shared" ref="AD29:CP29" si="78">+AD27+AD28</f>
        <v>4582.2299999999996</v>
      </c>
      <c r="AE29" s="70">
        <f t="shared" si="78"/>
        <v>745.4</v>
      </c>
      <c r="AF29" s="70">
        <f t="shared" si="78"/>
        <v>766.87</v>
      </c>
      <c r="AG29" s="70">
        <f t="shared" si="78"/>
        <v>1146</v>
      </c>
      <c r="AH29" s="70">
        <f t="shared" si="78"/>
        <v>186</v>
      </c>
      <c r="AI29" s="96">
        <f t="shared" si="78"/>
        <v>382</v>
      </c>
      <c r="AJ29" s="70">
        <f t="shared" si="78"/>
        <v>62</v>
      </c>
      <c r="AK29" s="70">
        <f t="shared" si="78"/>
        <v>0</v>
      </c>
      <c r="AL29" s="70">
        <f t="shared" si="78"/>
        <v>0</v>
      </c>
      <c r="AM29" s="70">
        <f t="shared" si="78"/>
        <v>1145.56</v>
      </c>
      <c r="AN29" s="70">
        <f t="shared" si="78"/>
        <v>181.5</v>
      </c>
      <c r="AO29" s="70">
        <f t="shared" si="78"/>
        <v>0</v>
      </c>
      <c r="AP29" s="70">
        <f t="shared" si="78"/>
        <v>0</v>
      </c>
      <c r="AQ29" s="70">
        <f t="shared" si="78"/>
        <v>2291.56</v>
      </c>
      <c r="AR29" s="70">
        <f t="shared" si="78"/>
        <v>367.5</v>
      </c>
      <c r="AS29" s="70">
        <f t="shared" si="78"/>
        <v>0</v>
      </c>
      <c r="AT29" s="70">
        <f t="shared" si="78"/>
        <v>0</v>
      </c>
      <c r="AU29" s="70">
        <f t="shared" si="78"/>
        <v>1145.56</v>
      </c>
      <c r="AV29" s="70">
        <f t="shared" si="78"/>
        <v>186.35</v>
      </c>
      <c r="AW29" s="70">
        <f t="shared" si="78"/>
        <v>0</v>
      </c>
      <c r="AX29" s="70">
        <f t="shared" si="78"/>
        <v>0</v>
      </c>
      <c r="AY29" s="70">
        <f t="shared" si="78"/>
        <v>3819.12</v>
      </c>
      <c r="AZ29" s="70">
        <f t="shared" si="78"/>
        <v>615.85</v>
      </c>
      <c r="BA29" s="70">
        <f t="shared" si="78"/>
        <v>4434.9699999999993</v>
      </c>
      <c r="BB29" s="70">
        <f t="shared" si="78"/>
        <v>3510.47</v>
      </c>
      <c r="BC29" s="70">
        <f t="shared" si="78"/>
        <v>518.4</v>
      </c>
      <c r="BD29" s="70">
        <f t="shared" si="78"/>
        <v>308.65000000000009</v>
      </c>
      <c r="BE29" s="70">
        <f t="shared" si="78"/>
        <v>97.450000000000045</v>
      </c>
      <c r="BF29" s="70">
        <f t="shared" si="78"/>
        <v>702.08999999999992</v>
      </c>
      <c r="BG29" s="96">
        <f t="shared" si="78"/>
        <v>103.68</v>
      </c>
      <c r="BH29" s="96">
        <f t="shared" si="78"/>
        <v>168.11999999999998</v>
      </c>
      <c r="BI29" s="96">
        <f t="shared" si="78"/>
        <v>3.12</v>
      </c>
      <c r="BJ29" s="96">
        <f t="shared" si="78"/>
        <v>0</v>
      </c>
      <c r="BK29" s="96">
        <f t="shared" si="78"/>
        <v>0</v>
      </c>
      <c r="BL29" s="96">
        <f t="shared" si="78"/>
        <v>3987.24</v>
      </c>
      <c r="BM29" s="96">
        <f t="shared" si="78"/>
        <v>618.97</v>
      </c>
      <c r="BN29" s="96">
        <f t="shared" si="78"/>
        <v>4606.2099999999991</v>
      </c>
      <c r="BO29" s="96">
        <f t="shared" si="78"/>
        <v>3791.25</v>
      </c>
      <c r="BP29" s="96">
        <f t="shared" si="78"/>
        <v>558.62</v>
      </c>
      <c r="BQ29" s="70">
        <f t="shared" si="78"/>
        <v>195.98999999999978</v>
      </c>
      <c r="BR29" s="70">
        <f t="shared" si="78"/>
        <v>60.350000000000023</v>
      </c>
      <c r="BS29" s="70">
        <f t="shared" si="78"/>
        <v>344.65999999999997</v>
      </c>
      <c r="BT29" s="70">
        <f t="shared" si="78"/>
        <v>50.78</v>
      </c>
      <c r="BU29" s="70">
        <f t="shared" si="78"/>
        <v>148.67000000000019</v>
      </c>
      <c r="BV29" s="70">
        <f t="shared" si="78"/>
        <v>0</v>
      </c>
      <c r="BW29" s="70">
        <f t="shared" si="78"/>
        <v>19.88</v>
      </c>
      <c r="BX29" s="70">
        <f t="shared" si="78"/>
        <v>57.67</v>
      </c>
      <c r="BY29" s="70">
        <f t="shared" si="78"/>
        <v>0</v>
      </c>
      <c r="BZ29" s="70">
        <f t="shared" si="78"/>
        <v>0</v>
      </c>
      <c r="CA29" s="70">
        <f t="shared" si="78"/>
        <v>4155.79</v>
      </c>
      <c r="CB29" s="70">
        <f t="shared" si="78"/>
        <v>676.64</v>
      </c>
      <c r="CC29" s="70">
        <f t="shared" si="78"/>
        <v>4571.37</v>
      </c>
      <c r="CD29" s="70">
        <f t="shared" si="78"/>
        <v>778.14</v>
      </c>
      <c r="CE29" s="70">
        <f t="shared" si="78"/>
        <v>381</v>
      </c>
      <c r="CF29" s="70">
        <f t="shared" si="78"/>
        <v>65</v>
      </c>
      <c r="CG29" s="70">
        <f t="shared" si="78"/>
        <v>1038.95</v>
      </c>
      <c r="CH29" s="96">
        <f t="shared" si="78"/>
        <v>169.16</v>
      </c>
      <c r="CI29" s="70">
        <f t="shared" si="78"/>
        <v>0</v>
      </c>
      <c r="CJ29" s="70">
        <f t="shared" si="78"/>
        <v>0</v>
      </c>
      <c r="CK29" s="70">
        <f t="shared" si="78"/>
        <v>1000</v>
      </c>
      <c r="CL29" s="70">
        <f t="shared" si="78"/>
        <v>150</v>
      </c>
      <c r="CM29" s="70">
        <f t="shared" si="78"/>
        <v>50</v>
      </c>
      <c r="CN29" s="70">
        <f t="shared" si="78"/>
        <v>0</v>
      </c>
      <c r="CO29" s="70">
        <f t="shared" si="78"/>
        <v>4950</v>
      </c>
      <c r="CP29" s="70">
        <f t="shared" si="78"/>
        <v>750</v>
      </c>
      <c r="CQ29" s="70">
        <f t="shared" ref="CQ29:FB29" si="79">+CQ27+CQ28</f>
        <v>4000</v>
      </c>
      <c r="CR29" s="70">
        <f t="shared" si="79"/>
        <v>600</v>
      </c>
      <c r="CS29" s="70">
        <f t="shared" si="79"/>
        <v>4000</v>
      </c>
      <c r="CT29" s="70">
        <f t="shared" si="79"/>
        <v>600</v>
      </c>
      <c r="CU29" s="70">
        <f t="shared" si="79"/>
        <v>4000</v>
      </c>
      <c r="CV29" s="70">
        <f t="shared" si="79"/>
        <v>600</v>
      </c>
      <c r="CW29" s="70">
        <f t="shared" si="79"/>
        <v>1000</v>
      </c>
      <c r="CX29" s="70">
        <f t="shared" si="79"/>
        <v>65</v>
      </c>
      <c r="CY29" s="70">
        <f t="shared" si="79"/>
        <v>50</v>
      </c>
      <c r="CZ29" s="70">
        <f t="shared" si="79"/>
        <v>0</v>
      </c>
      <c r="DA29" s="70">
        <f t="shared" si="79"/>
        <v>2481</v>
      </c>
      <c r="DB29" s="70">
        <f t="shared" si="79"/>
        <v>280</v>
      </c>
      <c r="DC29" s="70">
        <f t="shared" si="79"/>
        <v>2387.83</v>
      </c>
      <c r="DD29" s="70">
        <f t="shared" si="79"/>
        <v>129.68</v>
      </c>
      <c r="DE29" s="70">
        <f t="shared" si="79"/>
        <v>93.170000000000073</v>
      </c>
      <c r="DF29" s="70">
        <f t="shared" si="79"/>
        <v>150.32</v>
      </c>
      <c r="DG29" s="70">
        <f t="shared" si="79"/>
        <v>1000</v>
      </c>
      <c r="DH29" s="70">
        <f t="shared" si="79"/>
        <v>86.25</v>
      </c>
      <c r="DI29" s="70">
        <f t="shared" si="79"/>
        <v>906.82999999999993</v>
      </c>
      <c r="DJ29" s="70">
        <f t="shared" si="79"/>
        <v>0</v>
      </c>
      <c r="DK29" s="70">
        <f t="shared" si="79"/>
        <v>100</v>
      </c>
      <c r="DL29" s="70">
        <f t="shared" si="79"/>
        <v>0</v>
      </c>
      <c r="DM29" s="70">
        <f t="shared" si="79"/>
        <v>3487.83</v>
      </c>
      <c r="DN29" s="70">
        <f t="shared" si="79"/>
        <v>280</v>
      </c>
      <c r="DO29" s="97">
        <f t="shared" si="79"/>
        <v>3179.09</v>
      </c>
      <c r="DP29" s="98">
        <f t="shared" si="79"/>
        <v>193.15</v>
      </c>
      <c r="DQ29" s="98">
        <f t="shared" si="79"/>
        <v>308.74</v>
      </c>
      <c r="DR29" s="98">
        <f t="shared" si="79"/>
        <v>86.85</v>
      </c>
      <c r="DS29" s="98">
        <f t="shared" si="79"/>
        <v>317.90899999999999</v>
      </c>
      <c r="DT29" s="98">
        <f t="shared" si="79"/>
        <v>19.315000000000001</v>
      </c>
      <c r="DU29" s="98">
        <f t="shared" si="79"/>
        <v>9.1689999999999969</v>
      </c>
      <c r="DV29" s="98">
        <f t="shared" si="79"/>
        <v>-67.534999999999997</v>
      </c>
      <c r="DW29" s="98">
        <f t="shared" si="79"/>
        <v>0</v>
      </c>
      <c r="DX29" s="98">
        <f t="shared" si="79"/>
        <v>0</v>
      </c>
      <c r="DY29" s="98">
        <f t="shared" si="79"/>
        <v>150</v>
      </c>
      <c r="DZ29" s="98">
        <f t="shared" si="79"/>
        <v>0</v>
      </c>
      <c r="EA29" s="98">
        <f t="shared" si="79"/>
        <v>300</v>
      </c>
      <c r="EB29" s="134">
        <f t="shared" si="79"/>
        <v>0</v>
      </c>
      <c r="EC29" s="140">
        <f t="shared" si="79"/>
        <v>3937.83</v>
      </c>
      <c r="ED29" s="140">
        <f t="shared" si="79"/>
        <v>280</v>
      </c>
      <c r="EE29" s="140">
        <f t="shared" si="79"/>
        <v>3724.91</v>
      </c>
      <c r="EF29" s="140">
        <f t="shared" si="79"/>
        <v>208.86</v>
      </c>
      <c r="EG29" s="140">
        <f t="shared" si="79"/>
        <v>179.11</v>
      </c>
      <c r="EH29" s="140" t="e">
        <f t="shared" si="79"/>
        <v>#DIV/0!</v>
      </c>
      <c r="EI29" s="140">
        <f t="shared" si="79"/>
        <v>212.92000000000002</v>
      </c>
      <c r="EJ29" s="140">
        <f t="shared" si="79"/>
        <v>71.14</v>
      </c>
      <c r="EK29" s="140">
        <f t="shared" si="79"/>
        <v>338.63</v>
      </c>
      <c r="EL29" s="140">
        <f t="shared" si="79"/>
        <v>18.989999999999998</v>
      </c>
      <c r="EM29" s="140">
        <f t="shared" si="79"/>
        <v>125.70999999999995</v>
      </c>
      <c r="EN29" s="140">
        <f t="shared" si="79"/>
        <v>-52.150000000000006</v>
      </c>
      <c r="EO29" s="140">
        <f t="shared" si="79"/>
        <v>390</v>
      </c>
      <c r="EP29" s="140">
        <f t="shared" si="79"/>
        <v>0</v>
      </c>
      <c r="EQ29" s="136">
        <f t="shared" si="79"/>
        <v>0</v>
      </c>
      <c r="ER29" s="47">
        <f t="shared" si="79"/>
        <v>0</v>
      </c>
      <c r="ES29" s="47">
        <f t="shared" si="79"/>
        <v>274</v>
      </c>
      <c r="ET29" s="47">
        <f t="shared" si="79"/>
        <v>0</v>
      </c>
      <c r="EU29" s="5">
        <f t="shared" ref="EU29:EV31" si="80">+EW29-EC29-EO29</f>
        <v>22.170000000000073</v>
      </c>
      <c r="EV29" s="5">
        <f t="shared" si="80"/>
        <v>65</v>
      </c>
      <c r="EW29" s="46">
        <f t="shared" si="79"/>
        <v>4350</v>
      </c>
      <c r="EX29" s="46">
        <f t="shared" si="79"/>
        <v>345</v>
      </c>
      <c r="EY29" s="46">
        <f t="shared" si="79"/>
        <v>4870</v>
      </c>
      <c r="EZ29" s="46">
        <f t="shared" si="79"/>
        <v>720</v>
      </c>
      <c r="FA29" s="46">
        <f t="shared" si="79"/>
        <v>0</v>
      </c>
      <c r="FB29" s="46">
        <f t="shared" si="79"/>
        <v>0</v>
      </c>
    </row>
    <row r="30" spans="1:158" ht="18.75" x14ac:dyDescent="0.25">
      <c r="A30" s="37">
        <v>18</v>
      </c>
      <c r="B30" s="37"/>
      <c r="C30" s="91" t="s">
        <v>136</v>
      </c>
      <c r="D30" s="38" t="s">
        <v>141</v>
      </c>
      <c r="E30" s="39"/>
      <c r="F30" s="40">
        <v>2448.9699999999998</v>
      </c>
      <c r="G30" s="40">
        <v>224.26999999999998</v>
      </c>
      <c r="H30" s="40">
        <v>2448.9699999999998</v>
      </c>
      <c r="I30" s="40">
        <v>224.26999999999998</v>
      </c>
      <c r="J30" s="41">
        <v>2700</v>
      </c>
      <c r="K30" s="41">
        <v>0</v>
      </c>
      <c r="L30" s="41">
        <v>0</v>
      </c>
      <c r="M30" s="41">
        <f t="shared" si="62"/>
        <v>2700</v>
      </c>
      <c r="N30" s="41">
        <v>0</v>
      </c>
      <c r="O30" s="41">
        <v>0</v>
      </c>
      <c r="P30" s="41">
        <v>0</v>
      </c>
      <c r="Q30" s="41">
        <f t="shared" si="75"/>
        <v>0</v>
      </c>
      <c r="R30" s="41">
        <f t="shared" si="59"/>
        <v>2700</v>
      </c>
      <c r="S30" s="41">
        <v>250</v>
      </c>
      <c r="T30" s="92"/>
      <c r="U30" s="92"/>
      <c r="V30" s="40">
        <f>ROUND(H30*1.0583,2)</f>
        <v>2591.7399999999998</v>
      </c>
      <c r="W30" s="40">
        <f>ROUND(I30*1.0327,2)</f>
        <v>231.6</v>
      </c>
      <c r="X30" s="43">
        <f t="shared" si="2"/>
        <v>108.26000000000022</v>
      </c>
      <c r="Y30" s="43">
        <f t="shared" si="2"/>
        <v>18.400000000000006</v>
      </c>
      <c r="Z30" s="43">
        <v>2591.7399999999998</v>
      </c>
      <c r="AA30" s="43"/>
      <c r="AB30" s="43">
        <f t="shared" si="3"/>
        <v>2591.7399999999998</v>
      </c>
      <c r="AC30" s="43">
        <v>0</v>
      </c>
      <c r="AD30" s="43">
        <f>IF(X30&gt;0,V30,R30)</f>
        <v>2591.7399999999998</v>
      </c>
      <c r="AE30" s="43">
        <f>IF(Y30&gt;0,W30,S30)</f>
        <v>231.6</v>
      </c>
      <c r="AF30" s="43">
        <f t="shared" si="5"/>
        <v>225.55</v>
      </c>
      <c r="AG30" s="43">
        <f t="shared" si="6"/>
        <v>648</v>
      </c>
      <c r="AH30" s="43">
        <f t="shared" si="6"/>
        <v>58</v>
      </c>
      <c r="AI30" s="93">
        <f t="shared" si="7"/>
        <v>216</v>
      </c>
      <c r="AJ30" s="43">
        <f t="shared" si="7"/>
        <v>19</v>
      </c>
      <c r="AK30" s="43"/>
      <c r="AL30" s="43"/>
      <c r="AM30" s="43">
        <f t="shared" si="8"/>
        <v>647.94000000000005</v>
      </c>
      <c r="AN30" s="43">
        <f t="shared" si="9"/>
        <v>56.39</v>
      </c>
      <c r="AO30" s="43"/>
      <c r="AP30" s="43"/>
      <c r="AQ30" s="43">
        <f t="shared" si="10"/>
        <v>1295.94</v>
      </c>
      <c r="AR30" s="43">
        <f t="shared" si="10"/>
        <v>114.39</v>
      </c>
      <c r="AS30" s="43"/>
      <c r="AT30" s="43"/>
      <c r="AU30" s="43">
        <f t="shared" si="0"/>
        <v>647.94000000000005</v>
      </c>
      <c r="AV30" s="43">
        <v>165</v>
      </c>
      <c r="AW30" s="43"/>
      <c r="AX30" s="43"/>
      <c r="AY30" s="43">
        <f t="shared" si="11"/>
        <v>2159.88</v>
      </c>
      <c r="AZ30" s="43">
        <f t="shared" si="11"/>
        <v>298.39</v>
      </c>
      <c r="BA30" s="43">
        <f t="shared" si="12"/>
        <v>2458.27</v>
      </c>
      <c r="BB30" s="60">
        <v>2114.4299999999998</v>
      </c>
      <c r="BC30" s="60">
        <v>239.77</v>
      </c>
      <c r="BD30" s="60">
        <f t="shared" si="13"/>
        <v>45.450000000000273</v>
      </c>
      <c r="BE30" s="60">
        <f t="shared" si="13"/>
        <v>58.619999999999976</v>
      </c>
      <c r="BF30" s="60">
        <f t="shared" si="14"/>
        <v>422.89</v>
      </c>
      <c r="BG30" s="60">
        <f t="shared" si="14"/>
        <v>47.95</v>
      </c>
      <c r="BH30" s="43">
        <v>188.72</v>
      </c>
      <c r="BI30" s="43">
        <v>0</v>
      </c>
      <c r="BJ30" s="43"/>
      <c r="BK30" s="43"/>
      <c r="BL30" s="43">
        <f t="shared" si="1"/>
        <v>2348.6</v>
      </c>
      <c r="BM30" s="43">
        <f t="shared" si="1"/>
        <v>298.39</v>
      </c>
      <c r="BN30" s="43">
        <f t="shared" si="15"/>
        <v>2646.99</v>
      </c>
      <c r="BO30" s="43">
        <v>2325.85</v>
      </c>
      <c r="BP30" s="93">
        <v>259.72000000000003</v>
      </c>
      <c r="BQ30" s="43">
        <f t="shared" si="16"/>
        <v>22.75</v>
      </c>
      <c r="BR30" s="43">
        <f t="shared" si="16"/>
        <v>38.669999999999959</v>
      </c>
      <c r="BS30" s="43">
        <f t="shared" si="17"/>
        <v>211.44</v>
      </c>
      <c r="BT30" s="43">
        <f t="shared" si="17"/>
        <v>23.61</v>
      </c>
      <c r="BU30" s="43">
        <f t="shared" si="40"/>
        <v>188.69</v>
      </c>
      <c r="BV30" s="43">
        <v>190</v>
      </c>
      <c r="BW30" s="43">
        <v>41</v>
      </c>
      <c r="BX30" s="43"/>
      <c r="BY30" s="43"/>
      <c r="BZ30" s="43"/>
      <c r="CA30" s="43">
        <v>2578.29</v>
      </c>
      <c r="CB30" s="43">
        <v>488.39</v>
      </c>
      <c r="CC30" s="92">
        <v>2836.12</v>
      </c>
      <c r="CD30" s="92">
        <v>561.65</v>
      </c>
      <c r="CE30" s="92">
        <v>236</v>
      </c>
      <c r="CF30" s="92">
        <v>47</v>
      </c>
      <c r="CG30" s="92">
        <f t="shared" si="19"/>
        <v>644.57000000000005</v>
      </c>
      <c r="CH30" s="92">
        <f t="shared" si="19"/>
        <v>122.1</v>
      </c>
      <c r="CI30" s="43"/>
      <c r="CJ30" s="43"/>
      <c r="CK30" s="43">
        <v>715</v>
      </c>
      <c r="CL30" s="72">
        <f>177-50</f>
        <v>127</v>
      </c>
      <c r="CM30" s="72"/>
      <c r="CN30" s="72"/>
      <c r="CO30" s="43">
        <v>3000</v>
      </c>
      <c r="CP30" s="43">
        <v>450</v>
      </c>
      <c r="CQ30" s="43">
        <f t="shared" si="20"/>
        <v>2860</v>
      </c>
      <c r="CR30" s="43">
        <f t="shared" si="20"/>
        <v>508</v>
      </c>
      <c r="CS30" s="43">
        <f t="shared" si="21"/>
        <v>2860</v>
      </c>
      <c r="CT30" s="43">
        <f t="shared" si="21"/>
        <v>450</v>
      </c>
      <c r="CU30" s="43">
        <v>2860</v>
      </c>
      <c r="CV30" s="43">
        <v>450</v>
      </c>
      <c r="CW30" s="43">
        <f t="shared" si="22"/>
        <v>715</v>
      </c>
      <c r="CX30" s="43">
        <f>ROUND(CV30*25%,2)-10</f>
        <v>102.5</v>
      </c>
      <c r="CY30" s="43"/>
      <c r="CZ30" s="43">
        <v>95</v>
      </c>
      <c r="DA30" s="43">
        <f t="shared" si="23"/>
        <v>1666</v>
      </c>
      <c r="DB30" s="43">
        <f t="shared" si="23"/>
        <v>371.5</v>
      </c>
      <c r="DC30" s="43">
        <v>1435.56</v>
      </c>
      <c r="DD30" s="43">
        <v>359.84</v>
      </c>
      <c r="DE30" s="43">
        <f t="shared" si="24"/>
        <v>230.44000000000005</v>
      </c>
      <c r="DF30" s="43">
        <f t="shared" si="24"/>
        <v>11.660000000000025</v>
      </c>
      <c r="DG30" s="43">
        <f t="shared" ref="DG30:DH32" si="81">ROUND(0.25*(MIN(CU30,EW30)),2)</f>
        <v>715</v>
      </c>
      <c r="DH30" s="43">
        <f t="shared" si="81"/>
        <v>112.5</v>
      </c>
      <c r="DI30" s="43">
        <f>+DG30-DE30</f>
        <v>484.55999999999995</v>
      </c>
      <c r="DJ30" s="43">
        <f>+DH30-DF30-22.34</f>
        <v>78.499999999999972</v>
      </c>
      <c r="DK30" s="43"/>
      <c r="DL30" s="43"/>
      <c r="DM30" s="43">
        <f t="shared" si="25"/>
        <v>2150.56</v>
      </c>
      <c r="DN30" s="43">
        <f t="shared" si="25"/>
        <v>450</v>
      </c>
      <c r="DO30" s="104">
        <v>2121.16</v>
      </c>
      <c r="DP30" s="103">
        <v>415.53</v>
      </c>
      <c r="DQ30" s="60">
        <f t="shared" si="26"/>
        <v>29.4</v>
      </c>
      <c r="DR30" s="60">
        <f t="shared" si="26"/>
        <v>34.47</v>
      </c>
      <c r="DS30" s="60">
        <f t="shared" si="27"/>
        <v>212.11599999999999</v>
      </c>
      <c r="DT30" s="60">
        <f t="shared" si="27"/>
        <v>41.552999999999997</v>
      </c>
      <c r="DU30" s="60">
        <f t="shared" si="28"/>
        <v>182.71599999999998</v>
      </c>
      <c r="DV30" s="60">
        <f t="shared" si="28"/>
        <v>7.0829999999999984</v>
      </c>
      <c r="DW30" s="60"/>
      <c r="DX30" s="60"/>
      <c r="DY30" s="60">
        <f t="shared" si="29"/>
        <v>182.72</v>
      </c>
      <c r="DZ30" s="60">
        <f t="shared" si="29"/>
        <v>7.08</v>
      </c>
      <c r="EA30" s="60"/>
      <c r="EB30" s="60"/>
      <c r="EC30" s="43">
        <f t="shared" si="30"/>
        <v>2333.2799999999997</v>
      </c>
      <c r="ED30" s="43">
        <f t="shared" si="30"/>
        <v>457.08</v>
      </c>
      <c r="EE30" s="43">
        <v>2482.41</v>
      </c>
      <c r="EF30" s="43">
        <v>427.89</v>
      </c>
      <c r="EG30" s="43">
        <f t="shared" si="66"/>
        <v>106.39</v>
      </c>
      <c r="EH30" s="43">
        <f t="shared" si="66"/>
        <v>93.61</v>
      </c>
      <c r="EI30" s="43">
        <f t="shared" si="32"/>
        <v>-149.13</v>
      </c>
      <c r="EJ30" s="43">
        <f t="shared" si="32"/>
        <v>29.19</v>
      </c>
      <c r="EK30" s="43">
        <f t="shared" si="33"/>
        <v>225.67</v>
      </c>
      <c r="EL30" s="43">
        <f t="shared" si="33"/>
        <v>38.9</v>
      </c>
      <c r="EM30" s="43">
        <f t="shared" si="34"/>
        <v>374.79999999999995</v>
      </c>
      <c r="EN30" s="43">
        <f t="shared" si="34"/>
        <v>9.7099999999999973</v>
      </c>
      <c r="EO30" s="43">
        <v>384</v>
      </c>
      <c r="EP30" s="43">
        <v>43</v>
      </c>
      <c r="EQ30" s="5"/>
      <c r="ER30" s="5"/>
      <c r="ES30" s="5"/>
      <c r="ET30" s="5"/>
      <c r="EU30" s="5">
        <f t="shared" si="80"/>
        <v>1361.13</v>
      </c>
      <c r="EV30" s="5">
        <f t="shared" si="80"/>
        <v>87.479999999999961</v>
      </c>
      <c r="EW30" s="5">
        <v>4078.41</v>
      </c>
      <c r="EX30" s="5">
        <v>587.55999999999995</v>
      </c>
      <c r="EY30" s="5">
        <v>3290</v>
      </c>
      <c r="EZ30" s="5">
        <v>150</v>
      </c>
    </row>
    <row r="31" spans="1:158" ht="18.75" x14ac:dyDescent="0.25">
      <c r="A31" s="37">
        <v>19</v>
      </c>
      <c r="B31" s="37"/>
      <c r="C31" s="91" t="s">
        <v>136</v>
      </c>
      <c r="D31" s="105" t="s">
        <v>142</v>
      </c>
      <c r="E31" s="39"/>
      <c r="F31" s="40">
        <v>821.04</v>
      </c>
      <c r="G31" s="40">
        <v>0</v>
      </c>
      <c r="H31" s="40">
        <v>821.04</v>
      </c>
      <c r="I31" s="40">
        <v>0</v>
      </c>
      <c r="J31" s="41">
        <v>994.9</v>
      </c>
      <c r="K31" s="41">
        <v>0</v>
      </c>
      <c r="L31" s="41">
        <v>0</v>
      </c>
      <c r="M31" s="41">
        <f t="shared" si="62"/>
        <v>994.9</v>
      </c>
      <c r="N31" s="41">
        <v>76.38</v>
      </c>
      <c r="O31" s="41">
        <v>0</v>
      </c>
      <c r="P31" s="41">
        <v>0</v>
      </c>
      <c r="Q31" s="41">
        <f t="shared" si="75"/>
        <v>76.38</v>
      </c>
      <c r="R31" s="41">
        <f t="shared" si="59"/>
        <v>1071.28</v>
      </c>
      <c r="S31" s="41">
        <v>0</v>
      </c>
      <c r="T31" s="92"/>
      <c r="U31" s="92"/>
      <c r="V31" s="40">
        <f t="shared" ref="V31:V32" si="82">ROUND(H31*1.0583,2)</f>
        <v>868.91</v>
      </c>
      <c r="W31" s="40">
        <f t="shared" ref="W31:W32" si="83">ROUND(I31*1.0327,2)</f>
        <v>0</v>
      </c>
      <c r="X31" s="43">
        <f t="shared" si="2"/>
        <v>202.37</v>
      </c>
      <c r="Y31" s="43">
        <f t="shared" si="2"/>
        <v>0</v>
      </c>
      <c r="Z31" s="43">
        <v>1777.48</v>
      </c>
      <c r="AA31" s="43">
        <v>170</v>
      </c>
      <c r="AB31" s="43">
        <f t="shared" si="3"/>
        <v>1947.48</v>
      </c>
      <c r="AC31" s="43">
        <v>0</v>
      </c>
      <c r="AD31" s="43">
        <v>1947.48</v>
      </c>
      <c r="AE31" s="43">
        <v>0</v>
      </c>
      <c r="AF31" s="43">
        <v>0</v>
      </c>
      <c r="AG31" s="43">
        <v>487</v>
      </c>
      <c r="AH31" s="43">
        <v>0</v>
      </c>
      <c r="AI31" s="93">
        <v>162</v>
      </c>
      <c r="AJ31" s="43">
        <v>0</v>
      </c>
      <c r="AK31" s="43"/>
      <c r="AL31" s="43"/>
      <c r="AM31" s="43">
        <v>486.87</v>
      </c>
      <c r="AN31" s="43">
        <v>0</v>
      </c>
      <c r="AO31" s="43"/>
      <c r="AP31" s="43"/>
      <c r="AQ31" s="43">
        <f t="shared" si="10"/>
        <v>973.87</v>
      </c>
      <c r="AR31" s="43">
        <v>0</v>
      </c>
      <c r="AS31" s="43"/>
      <c r="AT31" s="43"/>
      <c r="AU31" s="43">
        <v>350</v>
      </c>
      <c r="AV31" s="43">
        <v>0</v>
      </c>
      <c r="AW31" s="43"/>
      <c r="AX31" s="43"/>
      <c r="AY31" s="43">
        <f t="shared" si="11"/>
        <v>1485.87</v>
      </c>
      <c r="AZ31" s="43">
        <f t="shared" si="11"/>
        <v>0</v>
      </c>
      <c r="BA31" s="43">
        <f t="shared" si="12"/>
        <v>1485.87</v>
      </c>
      <c r="BB31" s="60">
        <v>1494.47</v>
      </c>
      <c r="BC31" s="60"/>
      <c r="BD31" s="60">
        <f t="shared" si="13"/>
        <v>-8.6000000000001364</v>
      </c>
      <c r="BE31" s="60">
        <f t="shared" si="13"/>
        <v>0</v>
      </c>
      <c r="BF31" s="60">
        <f t="shared" si="14"/>
        <v>298.89</v>
      </c>
      <c r="BG31" s="60">
        <f t="shared" si="14"/>
        <v>0</v>
      </c>
      <c r="BH31" s="43">
        <v>6.59</v>
      </c>
      <c r="BI31" s="43">
        <v>0</v>
      </c>
      <c r="BJ31" s="43"/>
      <c r="BK31" s="43"/>
      <c r="BL31" s="43">
        <f t="shared" si="1"/>
        <v>1492.4599999999998</v>
      </c>
      <c r="BM31" s="43">
        <f t="shared" si="1"/>
        <v>0</v>
      </c>
      <c r="BN31" s="43">
        <f t="shared" si="15"/>
        <v>1492.4599999999998</v>
      </c>
      <c r="BO31" s="43">
        <f>741.61+768.46</f>
        <v>1510.0700000000002</v>
      </c>
      <c r="BP31" s="93"/>
      <c r="BQ31" s="43">
        <f t="shared" si="16"/>
        <v>-17.610000000000355</v>
      </c>
      <c r="BR31" s="43">
        <f t="shared" si="16"/>
        <v>0</v>
      </c>
      <c r="BS31" s="43">
        <f t="shared" si="17"/>
        <v>137.28</v>
      </c>
      <c r="BT31" s="43">
        <f t="shared" si="17"/>
        <v>0</v>
      </c>
      <c r="BU31" s="43">
        <f t="shared" si="40"/>
        <v>154.89000000000036</v>
      </c>
      <c r="BV31" s="43">
        <f>ROUND(BT31-BR31,2)</f>
        <v>0</v>
      </c>
      <c r="BW31" s="43">
        <f>437.66+23.27</f>
        <v>460.93</v>
      </c>
      <c r="BX31" s="43"/>
      <c r="BY31" s="43"/>
      <c r="BZ31" s="43"/>
      <c r="CA31" s="43">
        <v>2108.2800000000002</v>
      </c>
      <c r="CB31" s="43">
        <v>0</v>
      </c>
      <c r="CC31" s="92">
        <v>2319.11</v>
      </c>
      <c r="CD31" s="92">
        <v>0</v>
      </c>
      <c r="CE31" s="92">
        <v>193</v>
      </c>
      <c r="CF31" s="92">
        <v>0</v>
      </c>
      <c r="CG31" s="92">
        <f t="shared" si="19"/>
        <v>527.07000000000005</v>
      </c>
      <c r="CH31" s="92">
        <f t="shared" si="19"/>
        <v>0</v>
      </c>
      <c r="CI31" s="43"/>
      <c r="CJ31" s="43"/>
      <c r="CK31" s="43">
        <v>451.85</v>
      </c>
      <c r="CL31" s="43">
        <v>0</v>
      </c>
      <c r="CM31" s="43"/>
      <c r="CN31" s="43"/>
      <c r="CO31" s="43">
        <v>1807.39</v>
      </c>
      <c r="CP31" s="43"/>
      <c r="CQ31" s="43">
        <f t="shared" si="20"/>
        <v>1807.4</v>
      </c>
      <c r="CR31" s="43">
        <f t="shared" si="20"/>
        <v>0</v>
      </c>
      <c r="CS31" s="43">
        <f t="shared" si="21"/>
        <v>1807.39</v>
      </c>
      <c r="CT31" s="43">
        <f t="shared" si="21"/>
        <v>0</v>
      </c>
      <c r="CU31" s="43">
        <v>1807.39</v>
      </c>
      <c r="CV31" s="43">
        <v>0</v>
      </c>
      <c r="CW31" s="43">
        <f t="shared" si="22"/>
        <v>451.85</v>
      </c>
      <c r="CX31" s="43">
        <f t="shared" si="22"/>
        <v>0</v>
      </c>
      <c r="CY31" s="43"/>
      <c r="CZ31" s="43"/>
      <c r="DA31" s="43">
        <f t="shared" si="23"/>
        <v>1096.7</v>
      </c>
      <c r="DB31" s="43">
        <f t="shared" si="23"/>
        <v>0</v>
      </c>
      <c r="DC31" s="43">
        <v>1089.57</v>
      </c>
      <c r="DD31" s="43">
        <v>0</v>
      </c>
      <c r="DE31" s="43">
        <f t="shared" si="24"/>
        <v>7.1300000000001091</v>
      </c>
      <c r="DF31" s="43">
        <f t="shared" si="24"/>
        <v>0</v>
      </c>
      <c r="DG31" s="43">
        <f t="shared" si="81"/>
        <v>451.85</v>
      </c>
      <c r="DH31" s="43">
        <f t="shared" si="81"/>
        <v>0</v>
      </c>
      <c r="DI31" s="43">
        <f>+DG31-DE31</f>
        <v>444.71999999999991</v>
      </c>
      <c r="DJ31" s="43">
        <f>+DH31-DF31</f>
        <v>0</v>
      </c>
      <c r="DK31" s="43"/>
      <c r="DL31" s="43"/>
      <c r="DM31" s="43">
        <f t="shared" si="25"/>
        <v>1541.42</v>
      </c>
      <c r="DN31" s="43">
        <f t="shared" si="25"/>
        <v>0</v>
      </c>
      <c r="DO31" s="94">
        <f>1435.57+90</f>
        <v>1525.57</v>
      </c>
      <c r="DP31" s="99">
        <v>0</v>
      </c>
      <c r="DQ31" s="60">
        <f t="shared" si="26"/>
        <v>15.85</v>
      </c>
      <c r="DR31" s="60">
        <f t="shared" si="26"/>
        <v>0</v>
      </c>
      <c r="DS31" s="60">
        <f t="shared" si="27"/>
        <v>152.55699999999999</v>
      </c>
      <c r="DT31" s="60">
        <f t="shared" si="27"/>
        <v>0</v>
      </c>
      <c r="DU31" s="60">
        <f t="shared" si="28"/>
        <v>136.70699999999999</v>
      </c>
      <c r="DV31" s="60">
        <f t="shared" si="28"/>
        <v>0</v>
      </c>
      <c r="DW31" s="60"/>
      <c r="DX31" s="60"/>
      <c r="DY31" s="60">
        <f t="shared" si="29"/>
        <v>136.71</v>
      </c>
      <c r="DZ31" s="60">
        <f t="shared" si="29"/>
        <v>0</v>
      </c>
      <c r="EA31" s="60"/>
      <c r="EB31" s="60"/>
      <c r="EC31" s="43">
        <f t="shared" si="30"/>
        <v>1678.13</v>
      </c>
      <c r="ED31" s="43">
        <f t="shared" si="30"/>
        <v>0</v>
      </c>
      <c r="EE31" s="43">
        <v>1525.57</v>
      </c>
      <c r="EF31" s="43"/>
      <c r="EG31" s="43">
        <f t="shared" si="66"/>
        <v>90.91</v>
      </c>
      <c r="EH31" s="43" t="e">
        <f t="shared" si="66"/>
        <v>#DIV/0!</v>
      </c>
      <c r="EI31" s="43">
        <f t="shared" si="32"/>
        <v>152.56</v>
      </c>
      <c r="EJ31" s="43">
        <f t="shared" si="32"/>
        <v>0</v>
      </c>
      <c r="EK31" s="43">
        <f t="shared" si="33"/>
        <v>138.69</v>
      </c>
      <c r="EL31" s="43">
        <f t="shared" si="33"/>
        <v>0</v>
      </c>
      <c r="EM31" s="43">
        <f t="shared" si="34"/>
        <v>-13.870000000000005</v>
      </c>
      <c r="EN31" s="43">
        <f t="shared" si="34"/>
        <v>0</v>
      </c>
      <c r="EO31" s="43">
        <v>668.81</v>
      </c>
      <c r="EP31" s="43">
        <v>0</v>
      </c>
      <c r="EQ31" s="5"/>
      <c r="ER31" s="5"/>
      <c r="ES31" s="5"/>
      <c r="ET31" s="5"/>
      <c r="EU31" s="5">
        <f t="shared" si="80"/>
        <v>-40.940000000000055</v>
      </c>
      <c r="EV31" s="5">
        <f t="shared" si="80"/>
        <v>0</v>
      </c>
      <c r="EW31" s="5">
        <f>2062.27+243.73</f>
        <v>2306</v>
      </c>
      <c r="EX31" s="5">
        <v>0</v>
      </c>
      <c r="EY31" s="58">
        <f>1757.77+170.72</f>
        <v>1928.49</v>
      </c>
      <c r="EZ31" s="5">
        <v>0</v>
      </c>
    </row>
    <row r="32" spans="1:158" ht="31.5" x14ac:dyDescent="0.25">
      <c r="A32" s="37">
        <v>20</v>
      </c>
      <c r="B32" s="37"/>
      <c r="C32" s="91" t="s">
        <v>136</v>
      </c>
      <c r="D32" s="105" t="s">
        <v>143</v>
      </c>
      <c r="E32" s="39"/>
      <c r="F32" s="40">
        <v>1019.1500000000001</v>
      </c>
      <c r="G32" s="40">
        <v>0</v>
      </c>
      <c r="H32" s="40">
        <v>1019.1500000000001</v>
      </c>
      <c r="I32" s="40">
        <v>0</v>
      </c>
      <c r="J32" s="41">
        <v>1222.25</v>
      </c>
      <c r="K32" s="41">
        <v>0</v>
      </c>
      <c r="L32" s="41">
        <v>0</v>
      </c>
      <c r="M32" s="41">
        <f t="shared" si="62"/>
        <v>1222.25</v>
      </c>
      <c r="N32" s="41">
        <v>149.27000000000001</v>
      </c>
      <c r="O32" s="41">
        <v>0</v>
      </c>
      <c r="P32" s="41">
        <v>0</v>
      </c>
      <c r="Q32" s="41">
        <f t="shared" si="75"/>
        <v>149.27000000000001</v>
      </c>
      <c r="R32" s="41">
        <f t="shared" si="59"/>
        <v>1371.52</v>
      </c>
      <c r="S32" s="41">
        <v>0</v>
      </c>
      <c r="T32" s="92"/>
      <c r="U32" s="92"/>
      <c r="V32" s="40">
        <f t="shared" si="82"/>
        <v>1078.57</v>
      </c>
      <c r="W32" s="40">
        <f t="shared" si="83"/>
        <v>0</v>
      </c>
      <c r="X32" s="43">
        <f t="shared" si="2"/>
        <v>292.95000000000005</v>
      </c>
      <c r="Y32" s="43">
        <f t="shared" si="2"/>
        <v>0</v>
      </c>
      <c r="Z32" s="43">
        <v>1064.3</v>
      </c>
      <c r="AA32" s="43">
        <v>45</v>
      </c>
      <c r="AB32" s="43">
        <f t="shared" si="3"/>
        <v>1109.3</v>
      </c>
      <c r="AC32" s="43">
        <v>0</v>
      </c>
      <c r="AD32" s="43">
        <v>1109.3</v>
      </c>
      <c r="AE32" s="43">
        <v>0</v>
      </c>
      <c r="AF32" s="43">
        <v>0</v>
      </c>
      <c r="AG32" s="43">
        <v>278</v>
      </c>
      <c r="AH32" s="43">
        <v>0</v>
      </c>
      <c r="AI32" s="93">
        <v>93</v>
      </c>
      <c r="AJ32" s="43">
        <v>0</v>
      </c>
      <c r="AK32" s="43"/>
      <c r="AL32" s="43"/>
      <c r="AM32" s="43">
        <v>277.33</v>
      </c>
      <c r="AN32" s="43">
        <v>0</v>
      </c>
      <c r="AO32" s="43"/>
      <c r="AP32" s="43"/>
      <c r="AQ32" s="43">
        <f t="shared" si="10"/>
        <v>555.32999999999993</v>
      </c>
      <c r="AR32" s="43">
        <v>0</v>
      </c>
      <c r="AS32" s="43"/>
      <c r="AT32" s="43"/>
      <c r="AU32" s="43">
        <v>277.33</v>
      </c>
      <c r="AV32" s="43">
        <v>0</v>
      </c>
      <c r="AW32" s="43"/>
      <c r="AX32" s="43"/>
      <c r="AY32" s="43">
        <f t="shared" si="11"/>
        <v>925.65999999999985</v>
      </c>
      <c r="AZ32" s="43">
        <f t="shared" si="11"/>
        <v>0</v>
      </c>
      <c r="BA32" s="43">
        <f t="shared" si="12"/>
        <v>925.65999999999985</v>
      </c>
      <c r="BB32" s="60">
        <f>605.57+218.31</f>
        <v>823.88000000000011</v>
      </c>
      <c r="BC32" s="60"/>
      <c r="BD32" s="60">
        <f t="shared" si="13"/>
        <v>101.77999999999975</v>
      </c>
      <c r="BE32" s="60">
        <f t="shared" si="13"/>
        <v>0</v>
      </c>
      <c r="BF32" s="60">
        <f t="shared" si="14"/>
        <v>164.78</v>
      </c>
      <c r="BG32" s="60">
        <f t="shared" si="14"/>
        <v>0</v>
      </c>
      <c r="BH32" s="43">
        <v>31.5</v>
      </c>
      <c r="BI32" s="43">
        <v>0</v>
      </c>
      <c r="BJ32" s="43"/>
      <c r="BK32" s="43"/>
      <c r="BL32" s="43">
        <f t="shared" si="1"/>
        <v>957.15999999999985</v>
      </c>
      <c r="BM32" s="43">
        <f t="shared" si="1"/>
        <v>0</v>
      </c>
      <c r="BN32" s="43">
        <f t="shared" si="15"/>
        <v>957.15999999999985</v>
      </c>
      <c r="BO32" s="43">
        <f>605.57+218.31</f>
        <v>823.88000000000011</v>
      </c>
      <c r="BP32" s="93"/>
      <c r="BQ32" s="43">
        <f t="shared" si="16"/>
        <v>133.27999999999975</v>
      </c>
      <c r="BR32" s="43">
        <f t="shared" si="16"/>
        <v>0</v>
      </c>
      <c r="BS32" s="43">
        <f t="shared" si="17"/>
        <v>74.900000000000006</v>
      </c>
      <c r="BT32" s="43">
        <f t="shared" si="17"/>
        <v>0</v>
      </c>
      <c r="BU32" s="43">
        <v>-58.38</v>
      </c>
      <c r="BV32" s="43">
        <f t="shared" ref="BV32" si="84">ROUND(BT32-BR32,2)</f>
        <v>0</v>
      </c>
      <c r="BW32" s="43">
        <v>882.96</v>
      </c>
      <c r="BX32" s="43"/>
      <c r="BY32" s="43"/>
      <c r="BZ32" s="43"/>
      <c r="CA32" s="43">
        <v>1781.7399999999998</v>
      </c>
      <c r="CB32" s="43">
        <v>0</v>
      </c>
      <c r="CC32" s="92">
        <v>1959.91</v>
      </c>
      <c r="CD32" s="92">
        <v>0</v>
      </c>
      <c r="CE32" s="92">
        <v>163</v>
      </c>
      <c r="CF32" s="92">
        <v>0</v>
      </c>
      <c r="CG32" s="92">
        <f t="shared" si="19"/>
        <v>445.44</v>
      </c>
      <c r="CH32" s="92">
        <f t="shared" si="19"/>
        <v>0</v>
      </c>
      <c r="CI32" s="43"/>
      <c r="CJ32" s="43"/>
      <c r="CK32" s="72">
        <f>634.63-150</f>
        <v>484.63</v>
      </c>
      <c r="CL32" s="43">
        <v>0</v>
      </c>
      <c r="CM32" s="43"/>
      <c r="CN32" s="43"/>
      <c r="CO32" s="43">
        <v>2538.5</v>
      </c>
      <c r="CP32" s="43"/>
      <c r="CQ32" s="43">
        <f t="shared" si="20"/>
        <v>1938.52</v>
      </c>
      <c r="CR32" s="43">
        <f t="shared" si="20"/>
        <v>0</v>
      </c>
      <c r="CS32" s="43">
        <f>IF(CO32&lt;CQ32,CO32,CQ32)+0.85</f>
        <v>1939.37</v>
      </c>
      <c r="CT32" s="43">
        <f t="shared" si="21"/>
        <v>0</v>
      </c>
      <c r="CU32" s="43">
        <v>1939.37</v>
      </c>
      <c r="CV32" s="43">
        <v>0</v>
      </c>
      <c r="CW32" s="43">
        <f t="shared" si="22"/>
        <v>484.84</v>
      </c>
      <c r="CX32" s="43">
        <f t="shared" si="22"/>
        <v>0</v>
      </c>
      <c r="CY32" s="43"/>
      <c r="CZ32" s="43"/>
      <c r="DA32" s="43">
        <f t="shared" si="23"/>
        <v>1132.47</v>
      </c>
      <c r="DB32" s="43">
        <f t="shared" si="23"/>
        <v>0</v>
      </c>
      <c r="DC32" s="43">
        <v>914.67</v>
      </c>
      <c r="DD32" s="43">
        <v>0</v>
      </c>
      <c r="DE32" s="43">
        <f t="shared" si="24"/>
        <v>217.80000000000007</v>
      </c>
      <c r="DF32" s="43">
        <f t="shared" si="24"/>
        <v>0</v>
      </c>
      <c r="DG32" s="43">
        <f t="shared" si="81"/>
        <v>484.84</v>
      </c>
      <c r="DH32" s="43">
        <f t="shared" si="81"/>
        <v>0</v>
      </c>
      <c r="DI32" s="43">
        <f>+DG32-DE32</f>
        <v>267.03999999999991</v>
      </c>
      <c r="DJ32" s="43">
        <f>+DH32-DF32</f>
        <v>0</v>
      </c>
      <c r="DK32" s="43"/>
      <c r="DL32" s="43"/>
      <c r="DM32" s="43">
        <f t="shared" si="25"/>
        <v>1399.51</v>
      </c>
      <c r="DN32" s="43">
        <f t="shared" si="25"/>
        <v>0</v>
      </c>
      <c r="DO32" s="94">
        <f>1258.82+85.64</f>
        <v>1344.46</v>
      </c>
      <c r="DP32" s="99">
        <v>0</v>
      </c>
      <c r="DQ32" s="60">
        <f t="shared" si="26"/>
        <v>55.05</v>
      </c>
      <c r="DR32" s="60">
        <f t="shared" si="26"/>
        <v>0</v>
      </c>
      <c r="DS32" s="60">
        <f t="shared" si="27"/>
        <v>134.446</v>
      </c>
      <c r="DT32" s="60">
        <f t="shared" si="27"/>
        <v>0</v>
      </c>
      <c r="DU32" s="60">
        <f t="shared" si="28"/>
        <v>79.396000000000001</v>
      </c>
      <c r="DV32" s="60">
        <f t="shared" si="28"/>
        <v>0</v>
      </c>
      <c r="DW32" s="60"/>
      <c r="DX32" s="60"/>
      <c r="DY32" s="60">
        <f t="shared" si="29"/>
        <v>79.400000000000006</v>
      </c>
      <c r="DZ32" s="60">
        <f t="shared" si="29"/>
        <v>0</v>
      </c>
      <c r="EA32" s="60"/>
      <c r="EB32" s="60"/>
      <c r="EC32" s="43">
        <f t="shared" si="30"/>
        <v>1478.91</v>
      </c>
      <c r="ED32" s="43">
        <f t="shared" si="30"/>
        <v>0</v>
      </c>
      <c r="EE32" s="43">
        <v>1385.21</v>
      </c>
      <c r="EF32" s="43"/>
      <c r="EG32" s="43">
        <f t="shared" si="66"/>
        <v>93.66</v>
      </c>
      <c r="EH32" s="43" t="e">
        <f t="shared" si="66"/>
        <v>#DIV/0!</v>
      </c>
      <c r="EI32" s="43">
        <f t="shared" si="32"/>
        <v>93.7</v>
      </c>
      <c r="EJ32" s="43">
        <f t="shared" si="32"/>
        <v>0</v>
      </c>
      <c r="EK32" s="43">
        <f t="shared" si="33"/>
        <v>125.93</v>
      </c>
      <c r="EL32" s="43">
        <f t="shared" si="33"/>
        <v>0</v>
      </c>
      <c r="EM32" s="43">
        <f t="shared" si="34"/>
        <v>32.230000000000004</v>
      </c>
      <c r="EN32" s="43">
        <f t="shared" si="34"/>
        <v>0</v>
      </c>
      <c r="EO32" s="43">
        <v>634.97</v>
      </c>
      <c r="EP32" s="43">
        <v>0</v>
      </c>
      <c r="EQ32" s="5"/>
      <c r="ER32" s="5"/>
      <c r="ES32" s="5"/>
      <c r="ET32" s="5"/>
      <c r="EU32" s="5">
        <f>+EW32-EC32-EO32</f>
        <v>125.48999999999978</v>
      </c>
      <c r="EV32" s="5">
        <f>+EX32-ED32-EP32</f>
        <v>0</v>
      </c>
      <c r="EW32" s="5">
        <f>164+2075.37</f>
        <v>2239.37</v>
      </c>
      <c r="EY32" s="58">
        <f>188+3023</f>
        <v>3211</v>
      </c>
    </row>
    <row r="33" spans="1:159" ht="18.75" x14ac:dyDescent="0.25">
      <c r="A33" s="68"/>
      <c r="B33" s="68" t="s">
        <v>144</v>
      </c>
      <c r="C33" s="91" t="s">
        <v>136</v>
      </c>
      <c r="D33" s="67" t="s">
        <v>141</v>
      </c>
      <c r="E33" s="69" t="s">
        <v>145</v>
      </c>
      <c r="F33" s="70">
        <v>5337.35</v>
      </c>
      <c r="G33" s="70">
        <v>224.26999999999998</v>
      </c>
      <c r="H33" s="70">
        <v>5337.35</v>
      </c>
      <c r="I33" s="70">
        <v>224.26999999999998</v>
      </c>
      <c r="J33" s="71" t="e">
        <f>+J30+J31+J32+#REF!+#REF!</f>
        <v>#REF!</v>
      </c>
      <c r="K33" s="71" t="e">
        <f>+K30+K31+K32+#REF!+#REF!</f>
        <v>#REF!</v>
      </c>
      <c r="L33" s="71" t="e">
        <f>+L30+L31+L32+#REF!+#REF!</f>
        <v>#REF!</v>
      </c>
      <c r="M33" s="71" t="e">
        <f>+M30+M31+M32+#REF!+#REF!</f>
        <v>#REF!</v>
      </c>
      <c r="N33" s="71" t="e">
        <f>+N30+N31+N32+#REF!+#REF!</f>
        <v>#REF!</v>
      </c>
      <c r="O33" s="71" t="e">
        <f>+O30+O31+O32+#REF!+#REF!</f>
        <v>#REF!</v>
      </c>
      <c r="P33" s="71" t="e">
        <f>+P30+P31+P32+#REF!+#REF!</f>
        <v>#REF!</v>
      </c>
      <c r="Q33" s="71" t="e">
        <f>+Q30+Q31+Q32+#REF!+#REF!</f>
        <v>#REF!</v>
      </c>
      <c r="R33" s="71" t="e">
        <f>+R30+R31+R32+#REF!+#REF!</f>
        <v>#REF!</v>
      </c>
      <c r="S33" s="71" t="e">
        <f>+S30+S31+S32+#REF!+#REF!</f>
        <v>#REF!</v>
      </c>
      <c r="T33" s="71" t="e">
        <f>+T30+T31+T32+#REF!+#REF!</f>
        <v>#REF!</v>
      </c>
      <c r="U33" s="71" t="e">
        <f>+U30+U31+U32+#REF!+#REF!</f>
        <v>#REF!</v>
      </c>
      <c r="V33" s="71" t="e">
        <f>+V30+V31+V32+#REF!+#REF!</f>
        <v>#REF!</v>
      </c>
      <c r="W33" s="71" t="e">
        <f>+W30+W31+W32+#REF!+#REF!</f>
        <v>#REF!</v>
      </c>
      <c r="X33" s="71" t="e">
        <f>+X30+X31+X32+#REF!+#REF!</f>
        <v>#REF!</v>
      </c>
      <c r="Y33" s="71" t="e">
        <f>+Y30+Y31+Y32+#REF!+#REF!</f>
        <v>#REF!</v>
      </c>
      <c r="Z33" s="71" t="e">
        <f>+Z30+Z31+Z32+#REF!+#REF!</f>
        <v>#REF!</v>
      </c>
      <c r="AA33" s="71" t="e">
        <f>+AA30+AA31+AA32+#REF!+#REF!</f>
        <v>#REF!</v>
      </c>
      <c r="AB33" s="70" t="e">
        <f t="shared" si="3"/>
        <v>#REF!</v>
      </c>
      <c r="AC33" s="43">
        <v>0</v>
      </c>
      <c r="AD33" s="70">
        <f t="shared" ref="AD33:CO33" si="85">+AD30+AD31+AD32</f>
        <v>5648.5199999999995</v>
      </c>
      <c r="AE33" s="70">
        <f t="shared" si="85"/>
        <v>231.6</v>
      </c>
      <c r="AF33" s="70">
        <f t="shared" si="85"/>
        <v>225.55</v>
      </c>
      <c r="AG33" s="70">
        <f t="shared" si="85"/>
        <v>1413</v>
      </c>
      <c r="AH33" s="70">
        <f t="shared" si="85"/>
        <v>58</v>
      </c>
      <c r="AI33" s="70">
        <f t="shared" si="85"/>
        <v>471</v>
      </c>
      <c r="AJ33" s="70">
        <f t="shared" si="85"/>
        <v>19</v>
      </c>
      <c r="AK33" s="70">
        <f t="shared" si="85"/>
        <v>0</v>
      </c>
      <c r="AL33" s="70">
        <f t="shared" si="85"/>
        <v>0</v>
      </c>
      <c r="AM33" s="70">
        <f t="shared" si="85"/>
        <v>1412.1399999999999</v>
      </c>
      <c r="AN33" s="70">
        <f t="shared" si="85"/>
        <v>56.39</v>
      </c>
      <c r="AO33" s="70">
        <f t="shared" si="85"/>
        <v>0</v>
      </c>
      <c r="AP33" s="70">
        <f t="shared" si="85"/>
        <v>0</v>
      </c>
      <c r="AQ33" s="70">
        <f t="shared" si="85"/>
        <v>2825.14</v>
      </c>
      <c r="AR33" s="70">
        <f t="shared" si="85"/>
        <v>114.39</v>
      </c>
      <c r="AS33" s="70">
        <f t="shared" si="85"/>
        <v>0</v>
      </c>
      <c r="AT33" s="70">
        <f t="shared" si="85"/>
        <v>0</v>
      </c>
      <c r="AU33" s="70">
        <f t="shared" si="85"/>
        <v>1275.27</v>
      </c>
      <c r="AV33" s="70">
        <f t="shared" si="85"/>
        <v>165</v>
      </c>
      <c r="AW33" s="70">
        <f t="shared" si="85"/>
        <v>0</v>
      </c>
      <c r="AX33" s="70">
        <f t="shared" si="85"/>
        <v>0</v>
      </c>
      <c r="AY33" s="70">
        <f t="shared" si="85"/>
        <v>4571.41</v>
      </c>
      <c r="AZ33" s="70">
        <f t="shared" si="85"/>
        <v>298.39</v>
      </c>
      <c r="BA33" s="70">
        <f t="shared" si="85"/>
        <v>4869.7999999999993</v>
      </c>
      <c r="BB33" s="70">
        <f t="shared" si="85"/>
        <v>4432.78</v>
      </c>
      <c r="BC33" s="70">
        <f t="shared" si="85"/>
        <v>239.77</v>
      </c>
      <c r="BD33" s="70">
        <f t="shared" si="85"/>
        <v>138.62999999999988</v>
      </c>
      <c r="BE33" s="70">
        <f t="shared" si="85"/>
        <v>58.619999999999976</v>
      </c>
      <c r="BF33" s="70">
        <f t="shared" si="85"/>
        <v>886.56</v>
      </c>
      <c r="BG33" s="96">
        <f t="shared" si="85"/>
        <v>47.95</v>
      </c>
      <c r="BH33" s="96">
        <f t="shared" si="85"/>
        <v>226.81</v>
      </c>
      <c r="BI33" s="96">
        <f t="shared" si="85"/>
        <v>0</v>
      </c>
      <c r="BJ33" s="96">
        <f t="shared" si="85"/>
        <v>0</v>
      </c>
      <c r="BK33" s="96">
        <f t="shared" si="85"/>
        <v>0</v>
      </c>
      <c r="BL33" s="96">
        <f t="shared" si="85"/>
        <v>4798.2199999999993</v>
      </c>
      <c r="BM33" s="96">
        <f t="shared" si="85"/>
        <v>298.39</v>
      </c>
      <c r="BN33" s="96">
        <f t="shared" si="85"/>
        <v>5096.6099999999997</v>
      </c>
      <c r="BO33" s="96">
        <f t="shared" si="85"/>
        <v>4659.8</v>
      </c>
      <c r="BP33" s="96">
        <f t="shared" si="85"/>
        <v>259.72000000000003</v>
      </c>
      <c r="BQ33" s="70">
        <f t="shared" si="85"/>
        <v>138.41999999999939</v>
      </c>
      <c r="BR33" s="70">
        <f t="shared" si="85"/>
        <v>38.669999999999959</v>
      </c>
      <c r="BS33" s="70">
        <f t="shared" si="85"/>
        <v>423.62</v>
      </c>
      <c r="BT33" s="70">
        <f t="shared" si="85"/>
        <v>23.61</v>
      </c>
      <c r="BU33" s="70">
        <f t="shared" si="85"/>
        <v>285.20000000000039</v>
      </c>
      <c r="BV33" s="70">
        <f t="shared" si="85"/>
        <v>190</v>
      </c>
      <c r="BW33" s="70">
        <f t="shared" si="85"/>
        <v>1384.89</v>
      </c>
      <c r="BX33" s="70">
        <f t="shared" si="85"/>
        <v>0</v>
      </c>
      <c r="BY33" s="70">
        <f t="shared" si="85"/>
        <v>0</v>
      </c>
      <c r="BZ33" s="70">
        <f t="shared" si="85"/>
        <v>0</v>
      </c>
      <c r="CA33" s="70">
        <f t="shared" si="85"/>
        <v>6468.3099999999995</v>
      </c>
      <c r="CB33" s="70">
        <f t="shared" si="85"/>
        <v>488.39</v>
      </c>
      <c r="CC33" s="70">
        <f t="shared" si="85"/>
        <v>7115.1399999999994</v>
      </c>
      <c r="CD33" s="70">
        <f t="shared" si="85"/>
        <v>561.65</v>
      </c>
      <c r="CE33" s="70">
        <f t="shared" si="85"/>
        <v>592</v>
      </c>
      <c r="CF33" s="70">
        <f t="shared" si="85"/>
        <v>47</v>
      </c>
      <c r="CG33" s="70">
        <f t="shared" si="85"/>
        <v>1617.0800000000002</v>
      </c>
      <c r="CH33" s="96">
        <f t="shared" si="85"/>
        <v>122.1</v>
      </c>
      <c r="CI33" s="70">
        <f t="shared" si="85"/>
        <v>0</v>
      </c>
      <c r="CJ33" s="70">
        <f t="shared" si="85"/>
        <v>0</v>
      </c>
      <c r="CK33" s="70">
        <f t="shared" si="85"/>
        <v>1651.48</v>
      </c>
      <c r="CL33" s="70">
        <f t="shared" si="85"/>
        <v>127</v>
      </c>
      <c r="CM33" s="70">
        <f t="shared" si="85"/>
        <v>0</v>
      </c>
      <c r="CN33" s="70">
        <f t="shared" si="85"/>
        <v>0</v>
      </c>
      <c r="CO33" s="70">
        <f t="shared" si="85"/>
        <v>7345.89</v>
      </c>
      <c r="CP33" s="70">
        <f t="shared" ref="CP33:FA33" si="86">+CP30+CP31+CP32</f>
        <v>450</v>
      </c>
      <c r="CQ33" s="70">
        <f t="shared" si="86"/>
        <v>6605.92</v>
      </c>
      <c r="CR33" s="70">
        <f t="shared" si="86"/>
        <v>508</v>
      </c>
      <c r="CS33" s="70">
        <f t="shared" si="86"/>
        <v>6606.76</v>
      </c>
      <c r="CT33" s="70">
        <f t="shared" si="86"/>
        <v>450</v>
      </c>
      <c r="CU33" s="70">
        <f t="shared" si="86"/>
        <v>6606.76</v>
      </c>
      <c r="CV33" s="70">
        <f t="shared" si="86"/>
        <v>450</v>
      </c>
      <c r="CW33" s="70">
        <f t="shared" si="86"/>
        <v>1651.6899999999998</v>
      </c>
      <c r="CX33" s="70">
        <f t="shared" si="86"/>
        <v>102.5</v>
      </c>
      <c r="CY33" s="70">
        <f t="shared" si="86"/>
        <v>0</v>
      </c>
      <c r="CZ33" s="70">
        <f t="shared" si="86"/>
        <v>95</v>
      </c>
      <c r="DA33" s="70">
        <f t="shared" si="86"/>
        <v>3895.17</v>
      </c>
      <c r="DB33" s="70">
        <f t="shared" si="86"/>
        <v>371.5</v>
      </c>
      <c r="DC33" s="70">
        <f t="shared" si="86"/>
        <v>3439.8</v>
      </c>
      <c r="DD33" s="70">
        <f t="shared" si="86"/>
        <v>359.84</v>
      </c>
      <c r="DE33" s="70">
        <f t="shared" si="86"/>
        <v>455.37000000000023</v>
      </c>
      <c r="DF33" s="70">
        <f t="shared" si="86"/>
        <v>11.660000000000025</v>
      </c>
      <c r="DG33" s="70">
        <f t="shared" si="86"/>
        <v>1651.6899999999998</v>
      </c>
      <c r="DH33" s="70">
        <f t="shared" si="86"/>
        <v>112.5</v>
      </c>
      <c r="DI33" s="70">
        <f t="shared" si="86"/>
        <v>1196.3199999999997</v>
      </c>
      <c r="DJ33" s="70">
        <f t="shared" si="86"/>
        <v>78.499999999999972</v>
      </c>
      <c r="DK33" s="70">
        <f t="shared" si="86"/>
        <v>0</v>
      </c>
      <c r="DL33" s="70">
        <f t="shared" si="86"/>
        <v>0</v>
      </c>
      <c r="DM33" s="70">
        <f t="shared" si="86"/>
        <v>5091.49</v>
      </c>
      <c r="DN33" s="70">
        <f t="shared" si="86"/>
        <v>450</v>
      </c>
      <c r="DO33" s="97">
        <f t="shared" ref="DO33:ET33" si="87">DO30+DO31+DO32</f>
        <v>4991.1899999999996</v>
      </c>
      <c r="DP33" s="98">
        <f t="shared" si="87"/>
        <v>415.53</v>
      </c>
      <c r="DQ33" s="98">
        <f t="shared" si="87"/>
        <v>100.3</v>
      </c>
      <c r="DR33" s="98">
        <f t="shared" si="87"/>
        <v>34.47</v>
      </c>
      <c r="DS33" s="98">
        <f t="shared" si="87"/>
        <v>499.11900000000003</v>
      </c>
      <c r="DT33" s="98">
        <f t="shared" si="87"/>
        <v>41.552999999999997</v>
      </c>
      <c r="DU33" s="98">
        <f t="shared" si="87"/>
        <v>398.81900000000002</v>
      </c>
      <c r="DV33" s="98">
        <f t="shared" si="87"/>
        <v>7.0829999999999984</v>
      </c>
      <c r="DW33" s="98">
        <f t="shared" si="87"/>
        <v>0</v>
      </c>
      <c r="DX33" s="98">
        <f t="shared" si="87"/>
        <v>0</v>
      </c>
      <c r="DY33" s="98">
        <f t="shared" si="87"/>
        <v>398.83000000000004</v>
      </c>
      <c r="DZ33" s="98">
        <f t="shared" si="87"/>
        <v>7.08</v>
      </c>
      <c r="EA33" s="98">
        <f t="shared" si="87"/>
        <v>0</v>
      </c>
      <c r="EB33" s="134">
        <f t="shared" si="87"/>
        <v>0</v>
      </c>
      <c r="EC33" s="140">
        <f t="shared" si="87"/>
        <v>5490.32</v>
      </c>
      <c r="ED33" s="140">
        <f t="shared" si="87"/>
        <v>457.08</v>
      </c>
      <c r="EE33" s="140">
        <f t="shared" si="87"/>
        <v>5393.19</v>
      </c>
      <c r="EF33" s="140">
        <f t="shared" si="87"/>
        <v>427.89</v>
      </c>
      <c r="EG33" s="140">
        <f t="shared" si="87"/>
        <v>290.96000000000004</v>
      </c>
      <c r="EH33" s="140" t="e">
        <f t="shared" si="87"/>
        <v>#DIV/0!</v>
      </c>
      <c r="EI33" s="140">
        <f t="shared" si="87"/>
        <v>97.13000000000001</v>
      </c>
      <c r="EJ33" s="140">
        <f t="shared" si="87"/>
        <v>29.19</v>
      </c>
      <c r="EK33" s="140">
        <f t="shared" si="87"/>
        <v>490.29</v>
      </c>
      <c r="EL33" s="140">
        <f t="shared" si="87"/>
        <v>38.9</v>
      </c>
      <c r="EM33" s="140">
        <f t="shared" si="87"/>
        <v>393.15999999999997</v>
      </c>
      <c r="EN33" s="140">
        <f t="shared" si="87"/>
        <v>9.7099999999999973</v>
      </c>
      <c r="EO33" s="140">
        <f t="shared" si="87"/>
        <v>1687.78</v>
      </c>
      <c r="EP33" s="140">
        <f t="shared" si="87"/>
        <v>43</v>
      </c>
      <c r="EQ33" s="136">
        <f t="shared" si="87"/>
        <v>0</v>
      </c>
      <c r="ER33" s="47">
        <f t="shared" si="87"/>
        <v>0</v>
      </c>
      <c r="ES33" s="47">
        <f t="shared" si="87"/>
        <v>0</v>
      </c>
      <c r="ET33" s="47">
        <f t="shared" si="87"/>
        <v>0</v>
      </c>
      <c r="EU33" s="5">
        <f t="shared" ref="EU33:EV96" si="88">+EW33-EC33-EO33</f>
        <v>1445.6799999999992</v>
      </c>
      <c r="EV33" s="5">
        <f t="shared" si="88"/>
        <v>87.479999999999961</v>
      </c>
      <c r="EW33" s="46">
        <f t="shared" si="86"/>
        <v>8623.7799999999988</v>
      </c>
      <c r="EX33" s="46">
        <f t="shared" si="86"/>
        <v>587.55999999999995</v>
      </c>
      <c r="EY33" s="46">
        <f t="shared" si="86"/>
        <v>8429.49</v>
      </c>
      <c r="EZ33" s="46">
        <f t="shared" si="86"/>
        <v>150</v>
      </c>
      <c r="FA33" s="46">
        <f t="shared" si="86"/>
        <v>0</v>
      </c>
      <c r="FB33" s="46">
        <f t="shared" ref="FB33:FC33" si="89">+FB30+FB31+FB32</f>
        <v>0</v>
      </c>
      <c r="FC33" s="46">
        <f t="shared" si="89"/>
        <v>0</v>
      </c>
    </row>
    <row r="34" spans="1:159" ht="18.75" x14ac:dyDescent="0.25">
      <c r="A34" s="37">
        <v>23</v>
      </c>
      <c r="B34" s="37"/>
      <c r="C34" s="91" t="s">
        <v>136</v>
      </c>
      <c r="D34" s="38" t="s">
        <v>146</v>
      </c>
      <c r="E34" s="39"/>
      <c r="F34" s="40">
        <v>2871.5600000000004</v>
      </c>
      <c r="G34" s="40">
        <v>2275.63</v>
      </c>
      <c r="H34" s="40">
        <v>2871.5600000000004</v>
      </c>
      <c r="I34" s="40">
        <v>2275.63</v>
      </c>
      <c r="J34" s="41">
        <v>3500</v>
      </c>
      <c r="K34" s="41">
        <v>0</v>
      </c>
      <c r="L34" s="41">
        <v>0</v>
      </c>
      <c r="M34" s="41">
        <f t="shared" si="62"/>
        <v>3500</v>
      </c>
      <c r="N34" s="41">
        <v>0</v>
      </c>
      <c r="O34" s="41">
        <v>0</v>
      </c>
      <c r="P34" s="41">
        <v>0</v>
      </c>
      <c r="Q34" s="41">
        <f t="shared" si="75"/>
        <v>0</v>
      </c>
      <c r="R34" s="41">
        <f t="shared" si="59"/>
        <v>3500</v>
      </c>
      <c r="S34" s="41">
        <v>3000</v>
      </c>
      <c r="T34" s="92"/>
      <c r="U34" s="92"/>
      <c r="V34" s="40">
        <f t="shared" ref="V34:V35" si="90">ROUND(H34*1.0583,2)</f>
        <v>3038.97</v>
      </c>
      <c r="W34" s="40">
        <f t="shared" ref="W34:W35" si="91">ROUND(I34*1.0327,2)</f>
        <v>2350.04</v>
      </c>
      <c r="X34" s="43">
        <f t="shared" si="2"/>
        <v>461.0300000000002</v>
      </c>
      <c r="Y34" s="43">
        <f t="shared" si="2"/>
        <v>649.96</v>
      </c>
      <c r="Z34" s="43">
        <v>3038.97</v>
      </c>
      <c r="AA34" s="43"/>
      <c r="AB34" s="43">
        <f t="shared" si="3"/>
        <v>3038.97</v>
      </c>
      <c r="AC34" s="43">
        <f t="shared" si="4"/>
        <v>0</v>
      </c>
      <c r="AD34" s="43">
        <f>IF(X34&gt;0,V34,R34)</f>
        <v>3038.97</v>
      </c>
      <c r="AE34" s="43">
        <f>IF(Y34&gt;0,W34,S34)</f>
        <v>2350.04</v>
      </c>
      <c r="AF34" s="43">
        <f t="shared" si="5"/>
        <v>2706.6</v>
      </c>
      <c r="AG34" s="43">
        <f t="shared" si="6"/>
        <v>760</v>
      </c>
      <c r="AH34" s="43">
        <f t="shared" si="6"/>
        <v>588</v>
      </c>
      <c r="AI34" s="93">
        <f t="shared" si="7"/>
        <v>253</v>
      </c>
      <c r="AJ34" s="43">
        <f t="shared" si="7"/>
        <v>196</v>
      </c>
      <c r="AK34" s="43"/>
      <c r="AL34" s="43"/>
      <c r="AM34" s="43">
        <f t="shared" si="8"/>
        <v>759.74</v>
      </c>
      <c r="AN34" s="43">
        <f t="shared" si="9"/>
        <v>572.23</v>
      </c>
      <c r="AO34" s="43"/>
      <c r="AP34" s="43"/>
      <c r="AQ34" s="43">
        <f t="shared" si="10"/>
        <v>1519.74</v>
      </c>
      <c r="AR34" s="43">
        <f t="shared" si="10"/>
        <v>1160.23</v>
      </c>
      <c r="AS34" s="43"/>
      <c r="AT34" s="43"/>
      <c r="AU34" s="43">
        <f t="shared" si="0"/>
        <v>759.74</v>
      </c>
      <c r="AV34" s="43">
        <f t="shared" si="0"/>
        <v>587.51</v>
      </c>
      <c r="AW34" s="43"/>
      <c r="AX34" s="43"/>
      <c r="AY34" s="43">
        <f t="shared" si="11"/>
        <v>2532.48</v>
      </c>
      <c r="AZ34" s="43">
        <f t="shared" si="11"/>
        <v>1943.74</v>
      </c>
      <c r="BA34" s="43">
        <f t="shared" si="12"/>
        <v>4476.22</v>
      </c>
      <c r="BB34" s="60">
        <v>2406.2399999999998</v>
      </c>
      <c r="BC34" s="60">
        <v>1758.21</v>
      </c>
      <c r="BD34" s="60">
        <f t="shared" si="13"/>
        <v>126.24000000000024</v>
      </c>
      <c r="BE34" s="60">
        <f t="shared" si="13"/>
        <v>185.52999999999997</v>
      </c>
      <c r="BF34" s="60">
        <f t="shared" si="14"/>
        <v>481.25</v>
      </c>
      <c r="BG34" s="60">
        <f t="shared" si="14"/>
        <v>351.64</v>
      </c>
      <c r="BH34" s="43">
        <v>177.51</v>
      </c>
      <c r="BI34" s="43">
        <v>50</v>
      </c>
      <c r="BJ34" s="43"/>
      <c r="BK34" s="43"/>
      <c r="BL34" s="43">
        <f t="shared" si="1"/>
        <v>2709.99</v>
      </c>
      <c r="BM34" s="43">
        <f t="shared" si="1"/>
        <v>1993.74</v>
      </c>
      <c r="BN34" s="43">
        <f t="shared" si="15"/>
        <v>4703.7299999999996</v>
      </c>
      <c r="BO34" s="43">
        <v>2651.96</v>
      </c>
      <c r="BP34" s="93">
        <v>1968.87</v>
      </c>
      <c r="BQ34" s="43">
        <f t="shared" si="16"/>
        <v>58.029999999999745</v>
      </c>
      <c r="BR34" s="43">
        <f t="shared" si="16"/>
        <v>24.870000000000118</v>
      </c>
      <c r="BS34" s="43">
        <f t="shared" si="17"/>
        <v>241.09</v>
      </c>
      <c r="BT34" s="43">
        <f t="shared" si="17"/>
        <v>178.99</v>
      </c>
      <c r="BU34" s="43">
        <f>280-57.23</f>
        <v>222.77</v>
      </c>
      <c r="BV34" s="43">
        <v>300</v>
      </c>
      <c r="BW34" s="43"/>
      <c r="BX34" s="43">
        <v>104.03</v>
      </c>
      <c r="BY34" s="43"/>
      <c r="BZ34" s="43"/>
      <c r="CA34" s="43">
        <v>2932.7599999999998</v>
      </c>
      <c r="CB34" s="43">
        <v>2397.77</v>
      </c>
      <c r="CC34" s="92">
        <v>3226.04</v>
      </c>
      <c r="CD34" s="92">
        <v>2757.44</v>
      </c>
      <c r="CE34" s="92">
        <v>269</v>
      </c>
      <c r="CF34" s="92">
        <v>230</v>
      </c>
      <c r="CG34" s="92">
        <f t="shared" si="19"/>
        <v>733.19</v>
      </c>
      <c r="CH34" s="92">
        <f t="shared" si="19"/>
        <v>599.44000000000005</v>
      </c>
      <c r="CI34" s="43"/>
      <c r="CJ34" s="43"/>
      <c r="CK34" s="72">
        <f>800-20</f>
        <v>780</v>
      </c>
      <c r="CL34" s="72">
        <f>700-50-10</f>
        <v>640</v>
      </c>
      <c r="CM34" s="72"/>
      <c r="CN34" s="72"/>
      <c r="CO34" s="43">
        <v>3646.76</v>
      </c>
      <c r="CP34" s="43">
        <v>3000</v>
      </c>
      <c r="CQ34" s="43">
        <f t="shared" si="20"/>
        <v>3120</v>
      </c>
      <c r="CR34" s="43">
        <f t="shared" si="20"/>
        <v>2560</v>
      </c>
      <c r="CS34" s="43">
        <f t="shared" si="21"/>
        <v>3120</v>
      </c>
      <c r="CT34" s="43">
        <f t="shared" si="21"/>
        <v>2560</v>
      </c>
      <c r="CU34" s="43">
        <f t="shared" si="21"/>
        <v>3120</v>
      </c>
      <c r="CV34" s="43">
        <v>2700</v>
      </c>
      <c r="CW34" s="43">
        <f t="shared" si="22"/>
        <v>780</v>
      </c>
      <c r="CX34" s="43">
        <f>ROUND(CV34*25%,2)-10</f>
        <v>665</v>
      </c>
      <c r="CY34" s="43"/>
      <c r="CZ34" s="43"/>
      <c r="DA34" s="43">
        <f t="shared" si="23"/>
        <v>1829</v>
      </c>
      <c r="DB34" s="43">
        <f t="shared" si="23"/>
        <v>1535</v>
      </c>
      <c r="DC34" s="43">
        <v>1790.59</v>
      </c>
      <c r="DD34" s="43">
        <v>1305.51</v>
      </c>
      <c r="DE34" s="43">
        <f t="shared" si="24"/>
        <v>38.410000000000082</v>
      </c>
      <c r="DF34" s="43">
        <f t="shared" si="24"/>
        <v>229.49</v>
      </c>
      <c r="DG34" s="43">
        <f>ROUND(0.25*(MIN(CU34,EW34)),2)</f>
        <v>780</v>
      </c>
      <c r="DH34" s="43">
        <f>ROUND(0.25*(MIN(CV34,EX34)),2)</f>
        <v>675</v>
      </c>
      <c r="DI34" s="43">
        <f>+DG34-DE34</f>
        <v>741.58999999999992</v>
      </c>
      <c r="DJ34" s="43">
        <f>+DH34-DF34</f>
        <v>445.51</v>
      </c>
      <c r="DK34" s="43">
        <v>50</v>
      </c>
      <c r="DL34" s="43">
        <v>100</v>
      </c>
      <c r="DM34" s="43">
        <f t="shared" si="25"/>
        <v>2620.59</v>
      </c>
      <c r="DN34" s="43">
        <f t="shared" si="25"/>
        <v>2080.5100000000002</v>
      </c>
      <c r="DO34" s="104">
        <v>2588.23</v>
      </c>
      <c r="DP34" s="103">
        <v>2044.64</v>
      </c>
      <c r="DQ34" s="60">
        <f t="shared" si="26"/>
        <v>32.36</v>
      </c>
      <c r="DR34" s="60">
        <f t="shared" si="26"/>
        <v>35.869999999999997</v>
      </c>
      <c r="DS34" s="60">
        <f t="shared" si="27"/>
        <v>258.82299999999998</v>
      </c>
      <c r="DT34" s="60">
        <f t="shared" si="27"/>
        <v>204.464</v>
      </c>
      <c r="DU34" s="60">
        <f t="shared" si="28"/>
        <v>226.46299999999997</v>
      </c>
      <c r="DV34" s="60">
        <f t="shared" si="28"/>
        <v>168.59399999999999</v>
      </c>
      <c r="DW34" s="60">
        <v>50</v>
      </c>
      <c r="DX34" s="60">
        <v>100</v>
      </c>
      <c r="DY34" s="60">
        <f t="shared" si="29"/>
        <v>276.45999999999998</v>
      </c>
      <c r="DZ34" s="60">
        <f t="shared" si="29"/>
        <v>268.58999999999997</v>
      </c>
      <c r="EA34" s="60"/>
      <c r="EB34" s="60"/>
      <c r="EC34" s="43">
        <f t="shared" si="30"/>
        <v>2897.05</v>
      </c>
      <c r="ED34" s="43">
        <f t="shared" si="30"/>
        <v>2349.1000000000004</v>
      </c>
      <c r="EE34" s="43">
        <v>2828.24</v>
      </c>
      <c r="EF34" s="43">
        <v>2298.6799999999998</v>
      </c>
      <c r="EG34" s="43">
        <f t="shared" si="66"/>
        <v>97.62</v>
      </c>
      <c r="EH34" s="43">
        <f t="shared" si="66"/>
        <v>97.85</v>
      </c>
      <c r="EI34" s="43">
        <f t="shared" si="32"/>
        <v>68.81</v>
      </c>
      <c r="EJ34" s="43">
        <f t="shared" si="32"/>
        <v>50.42</v>
      </c>
      <c r="EK34" s="43">
        <f t="shared" si="33"/>
        <v>257.11</v>
      </c>
      <c r="EL34" s="43">
        <f t="shared" si="33"/>
        <v>208.97</v>
      </c>
      <c r="EM34" s="43">
        <f t="shared" si="34"/>
        <v>188.3</v>
      </c>
      <c r="EN34" s="43">
        <f t="shared" si="34"/>
        <v>158.55000000000001</v>
      </c>
      <c r="EO34" s="43">
        <v>222.95</v>
      </c>
      <c r="EP34" s="43">
        <v>300</v>
      </c>
      <c r="EQ34" s="5"/>
      <c r="ER34" s="5"/>
      <c r="ES34" s="5"/>
      <c r="ET34" s="5"/>
      <c r="EU34" s="5">
        <f t="shared" si="88"/>
        <v>29.999999999999829</v>
      </c>
      <c r="EV34" s="5">
        <f t="shared" si="88"/>
        <v>100.89999999999964</v>
      </c>
      <c r="EW34" s="5">
        <v>3150</v>
      </c>
      <c r="EX34" s="5">
        <v>2750</v>
      </c>
      <c r="EY34" s="5">
        <v>3300</v>
      </c>
      <c r="EZ34" s="5">
        <v>3000</v>
      </c>
    </row>
    <row r="35" spans="1:159" ht="18.75" x14ac:dyDescent="0.25">
      <c r="A35" s="37">
        <v>24</v>
      </c>
      <c r="B35" s="37"/>
      <c r="C35" s="91" t="s">
        <v>136</v>
      </c>
      <c r="D35" s="38" t="s">
        <v>147</v>
      </c>
      <c r="E35" s="39"/>
      <c r="F35" s="40">
        <v>652.8599999999999</v>
      </c>
      <c r="G35" s="40">
        <v>0</v>
      </c>
      <c r="H35" s="40">
        <v>652.8599999999999</v>
      </c>
      <c r="I35" s="40">
        <v>0</v>
      </c>
      <c r="J35" s="41">
        <v>1390.28</v>
      </c>
      <c r="K35" s="41">
        <v>0</v>
      </c>
      <c r="L35" s="41">
        <v>0</v>
      </c>
      <c r="M35" s="41">
        <f t="shared" si="62"/>
        <v>1390.28</v>
      </c>
      <c r="N35" s="41">
        <v>72.8</v>
      </c>
      <c r="O35" s="41">
        <v>0</v>
      </c>
      <c r="P35" s="41">
        <v>0</v>
      </c>
      <c r="Q35" s="41">
        <f t="shared" si="75"/>
        <v>72.8</v>
      </c>
      <c r="R35" s="41">
        <f t="shared" si="59"/>
        <v>1463.08</v>
      </c>
      <c r="S35" s="41">
        <v>0</v>
      </c>
      <c r="T35" s="92"/>
      <c r="U35" s="92"/>
      <c r="V35" s="40">
        <f t="shared" si="90"/>
        <v>690.92</v>
      </c>
      <c r="W35" s="40">
        <f t="shared" si="91"/>
        <v>0</v>
      </c>
      <c r="X35" s="43">
        <f t="shared" si="2"/>
        <v>772.16</v>
      </c>
      <c r="Y35" s="43">
        <f t="shared" si="2"/>
        <v>0</v>
      </c>
      <c r="Z35" s="43">
        <v>660</v>
      </c>
      <c r="AA35" s="43">
        <v>30.92</v>
      </c>
      <c r="AB35" s="43">
        <f t="shared" si="3"/>
        <v>690.92</v>
      </c>
      <c r="AC35" s="43">
        <f t="shared" si="4"/>
        <v>0</v>
      </c>
      <c r="AD35" s="43">
        <f>IF(X35&gt;0,V35,R35)</f>
        <v>690.92</v>
      </c>
      <c r="AE35" s="43">
        <f>IF(Y35&gt;0,W35,S35)</f>
        <v>0</v>
      </c>
      <c r="AF35" s="43">
        <f t="shared" si="5"/>
        <v>0</v>
      </c>
      <c r="AG35" s="43">
        <f t="shared" si="6"/>
        <v>173</v>
      </c>
      <c r="AH35" s="43">
        <f t="shared" si="6"/>
        <v>0</v>
      </c>
      <c r="AI35" s="93">
        <f t="shared" si="7"/>
        <v>58</v>
      </c>
      <c r="AJ35" s="43">
        <f t="shared" si="7"/>
        <v>0</v>
      </c>
      <c r="AK35" s="43"/>
      <c r="AL35" s="43"/>
      <c r="AM35" s="43">
        <f t="shared" si="8"/>
        <v>172.73</v>
      </c>
      <c r="AN35" s="43">
        <f t="shared" si="9"/>
        <v>0</v>
      </c>
      <c r="AO35" s="43"/>
      <c r="AP35" s="43"/>
      <c r="AQ35" s="43">
        <f t="shared" si="10"/>
        <v>345.73</v>
      </c>
      <c r="AR35" s="43">
        <f t="shared" si="10"/>
        <v>0</v>
      </c>
      <c r="AS35" s="43"/>
      <c r="AT35" s="43"/>
      <c r="AU35" s="43">
        <f t="shared" si="0"/>
        <v>172.73</v>
      </c>
      <c r="AV35" s="43">
        <f t="shared" si="0"/>
        <v>0</v>
      </c>
      <c r="AW35" s="43"/>
      <c r="AX35" s="43"/>
      <c r="AY35" s="43">
        <f t="shared" si="11"/>
        <v>576.46</v>
      </c>
      <c r="AZ35" s="43">
        <f t="shared" si="11"/>
        <v>0</v>
      </c>
      <c r="BA35" s="43">
        <f t="shared" si="12"/>
        <v>576.46</v>
      </c>
      <c r="BB35" s="60">
        <v>576.45999999999992</v>
      </c>
      <c r="BC35" s="60"/>
      <c r="BD35" s="60">
        <f t="shared" si="13"/>
        <v>0</v>
      </c>
      <c r="BE35" s="60">
        <f t="shared" si="13"/>
        <v>0</v>
      </c>
      <c r="BF35" s="60">
        <f t="shared" si="14"/>
        <v>115.29</v>
      </c>
      <c r="BG35" s="60">
        <f t="shared" si="14"/>
        <v>0</v>
      </c>
      <c r="BH35" s="43">
        <v>57.23</v>
      </c>
      <c r="BI35" s="43">
        <v>0</v>
      </c>
      <c r="BJ35" s="43"/>
      <c r="BK35" s="43"/>
      <c r="BL35" s="43">
        <f t="shared" si="1"/>
        <v>633.69000000000005</v>
      </c>
      <c r="BM35" s="43">
        <f t="shared" si="1"/>
        <v>0</v>
      </c>
      <c r="BN35" s="43">
        <f t="shared" si="15"/>
        <v>633.69000000000005</v>
      </c>
      <c r="BO35" s="43">
        <v>576.45999999999992</v>
      </c>
      <c r="BP35" s="93"/>
      <c r="BQ35" s="43">
        <f t="shared" si="16"/>
        <v>57.230000000000132</v>
      </c>
      <c r="BR35" s="43">
        <f t="shared" si="16"/>
        <v>0</v>
      </c>
      <c r="BS35" s="43">
        <f t="shared" si="17"/>
        <v>52.41</v>
      </c>
      <c r="BT35" s="43">
        <f t="shared" si="17"/>
        <v>0</v>
      </c>
      <c r="BU35" s="43">
        <f>0+57.23</f>
        <v>57.23</v>
      </c>
      <c r="BV35" s="43">
        <f>ROUND(BT35-BR35,2)</f>
        <v>0</v>
      </c>
      <c r="BW35" s="43"/>
      <c r="BX35" s="43"/>
      <c r="BY35" s="43"/>
      <c r="BZ35" s="43"/>
      <c r="CA35" s="43">
        <v>690.92000000000007</v>
      </c>
      <c r="CB35" s="43">
        <v>0</v>
      </c>
      <c r="CC35" s="92">
        <v>760.01</v>
      </c>
      <c r="CD35" s="92">
        <v>0</v>
      </c>
      <c r="CE35" s="92">
        <v>63</v>
      </c>
      <c r="CF35" s="92">
        <v>0</v>
      </c>
      <c r="CG35" s="92">
        <f t="shared" si="19"/>
        <v>172.73</v>
      </c>
      <c r="CH35" s="92">
        <f t="shared" si="19"/>
        <v>0</v>
      </c>
      <c r="CI35" s="43"/>
      <c r="CJ35" s="43"/>
      <c r="CK35" s="43">
        <v>189</v>
      </c>
      <c r="CL35" s="43">
        <v>0</v>
      </c>
      <c r="CM35" s="43"/>
      <c r="CN35" s="43"/>
      <c r="CO35" s="43">
        <v>1682.74</v>
      </c>
      <c r="CP35" s="43"/>
      <c r="CQ35" s="43">
        <f t="shared" si="20"/>
        <v>756</v>
      </c>
      <c r="CR35" s="43">
        <f t="shared" si="20"/>
        <v>0</v>
      </c>
      <c r="CS35" s="43">
        <f t="shared" si="21"/>
        <v>756</v>
      </c>
      <c r="CT35" s="43">
        <f t="shared" si="21"/>
        <v>0</v>
      </c>
      <c r="CU35" s="43">
        <v>770</v>
      </c>
      <c r="CV35" s="43">
        <v>0</v>
      </c>
      <c r="CW35" s="43">
        <f t="shared" si="22"/>
        <v>192.5</v>
      </c>
      <c r="CX35" s="43">
        <f t="shared" si="22"/>
        <v>0</v>
      </c>
      <c r="CY35" s="43"/>
      <c r="CZ35" s="43"/>
      <c r="DA35" s="43">
        <f t="shared" si="23"/>
        <v>444.5</v>
      </c>
      <c r="DB35" s="43">
        <f t="shared" si="23"/>
        <v>0</v>
      </c>
      <c r="DC35" s="43">
        <v>444.5</v>
      </c>
      <c r="DD35" s="43">
        <v>0</v>
      </c>
      <c r="DE35" s="43">
        <f t="shared" si="24"/>
        <v>0</v>
      </c>
      <c r="DF35" s="43">
        <f t="shared" si="24"/>
        <v>0</v>
      </c>
      <c r="DG35" s="43">
        <f>ROUND(0.25*(MIN(CU35,EW35)),2)</f>
        <v>192.5</v>
      </c>
      <c r="DH35" s="43">
        <f>ROUND(0.25*(MIN(CV35,EX35)),2)</f>
        <v>0</v>
      </c>
      <c r="DI35" s="43">
        <f>+DG35-DE35</f>
        <v>192.5</v>
      </c>
      <c r="DJ35" s="43">
        <f>+DH35-DF35</f>
        <v>0</v>
      </c>
      <c r="DK35" s="43"/>
      <c r="DL35" s="43"/>
      <c r="DM35" s="43">
        <f t="shared" si="25"/>
        <v>637</v>
      </c>
      <c r="DN35" s="43">
        <f t="shared" si="25"/>
        <v>0</v>
      </c>
      <c r="DO35" s="104">
        <f>617.7+19.3</f>
        <v>637</v>
      </c>
      <c r="DP35" s="103">
        <v>0</v>
      </c>
      <c r="DQ35" s="60">
        <f t="shared" si="26"/>
        <v>0</v>
      </c>
      <c r="DR35" s="60">
        <f t="shared" si="26"/>
        <v>0</v>
      </c>
      <c r="DS35" s="60">
        <f t="shared" si="27"/>
        <v>63.7</v>
      </c>
      <c r="DT35" s="60">
        <f t="shared" si="27"/>
        <v>0</v>
      </c>
      <c r="DU35" s="60">
        <f t="shared" si="28"/>
        <v>63.7</v>
      </c>
      <c r="DV35" s="60">
        <f t="shared" si="28"/>
        <v>0</v>
      </c>
      <c r="DW35" s="60"/>
      <c r="DX35" s="60"/>
      <c r="DY35" s="60">
        <f t="shared" si="29"/>
        <v>63.7</v>
      </c>
      <c r="DZ35" s="60">
        <f t="shared" si="29"/>
        <v>0</v>
      </c>
      <c r="EA35" s="60"/>
      <c r="EB35" s="60"/>
      <c r="EC35" s="43">
        <f t="shared" si="30"/>
        <v>700.7</v>
      </c>
      <c r="ED35" s="43">
        <f t="shared" si="30"/>
        <v>0</v>
      </c>
      <c r="EE35" s="43">
        <v>637</v>
      </c>
      <c r="EF35" s="43"/>
      <c r="EG35" s="43">
        <f t="shared" si="66"/>
        <v>90.91</v>
      </c>
      <c r="EH35" s="43" t="e">
        <f t="shared" si="66"/>
        <v>#DIV/0!</v>
      </c>
      <c r="EI35" s="43">
        <f t="shared" si="32"/>
        <v>63.7</v>
      </c>
      <c r="EJ35" s="43">
        <f t="shared" si="32"/>
        <v>0</v>
      </c>
      <c r="EK35" s="43">
        <f t="shared" si="33"/>
        <v>57.91</v>
      </c>
      <c r="EL35" s="43">
        <f t="shared" si="33"/>
        <v>0</v>
      </c>
      <c r="EM35" s="43">
        <f t="shared" si="34"/>
        <v>-5.7900000000000063</v>
      </c>
      <c r="EN35" s="43">
        <f t="shared" si="34"/>
        <v>0</v>
      </c>
      <c r="EO35" s="43">
        <v>0</v>
      </c>
      <c r="EP35" s="43">
        <v>0</v>
      </c>
      <c r="EQ35" s="5"/>
      <c r="ER35" s="5"/>
      <c r="ES35" s="5"/>
      <c r="ET35" s="5"/>
      <c r="EU35" s="5">
        <f t="shared" si="88"/>
        <v>69.299999999999955</v>
      </c>
      <c r="EV35" s="5">
        <f t="shared" si="88"/>
        <v>0</v>
      </c>
      <c r="EW35" s="5">
        <f>736+34</f>
        <v>770</v>
      </c>
      <c r="EY35" s="58">
        <f>96.28+1838.65</f>
        <v>1934.93</v>
      </c>
    </row>
    <row r="36" spans="1:159" ht="18.75" x14ac:dyDescent="0.25">
      <c r="A36" s="68"/>
      <c r="B36" s="68" t="s">
        <v>148</v>
      </c>
      <c r="C36" s="91" t="s">
        <v>136</v>
      </c>
      <c r="D36" s="67" t="s">
        <v>146</v>
      </c>
      <c r="E36" s="69" t="s">
        <v>149</v>
      </c>
      <c r="F36" s="70">
        <v>3524.42</v>
      </c>
      <c r="G36" s="70">
        <v>2275.63</v>
      </c>
      <c r="H36" s="70">
        <v>3524.42</v>
      </c>
      <c r="I36" s="70">
        <v>2275.63</v>
      </c>
      <c r="J36" s="71">
        <f t="shared" ref="J36:AA36" si="92">+J34+J35</f>
        <v>4890.28</v>
      </c>
      <c r="K36" s="71">
        <f t="shared" si="92"/>
        <v>0</v>
      </c>
      <c r="L36" s="71">
        <f t="shared" si="92"/>
        <v>0</v>
      </c>
      <c r="M36" s="71">
        <f t="shared" si="92"/>
        <v>4890.28</v>
      </c>
      <c r="N36" s="71">
        <f t="shared" si="92"/>
        <v>72.8</v>
      </c>
      <c r="O36" s="71">
        <f t="shared" si="92"/>
        <v>0</v>
      </c>
      <c r="P36" s="71">
        <f t="shared" si="92"/>
        <v>0</v>
      </c>
      <c r="Q36" s="71">
        <f t="shared" si="92"/>
        <v>72.8</v>
      </c>
      <c r="R36" s="71">
        <f t="shared" si="92"/>
        <v>4963.08</v>
      </c>
      <c r="S36" s="71">
        <f t="shared" si="92"/>
        <v>3000</v>
      </c>
      <c r="T36" s="71">
        <f t="shared" si="92"/>
        <v>0</v>
      </c>
      <c r="U36" s="71">
        <f t="shared" si="92"/>
        <v>0</v>
      </c>
      <c r="V36" s="71">
        <f t="shared" si="92"/>
        <v>3729.89</v>
      </c>
      <c r="W36" s="71">
        <f t="shared" si="92"/>
        <v>2350.04</v>
      </c>
      <c r="X36" s="71">
        <f t="shared" si="92"/>
        <v>1233.19</v>
      </c>
      <c r="Y36" s="71">
        <f t="shared" si="92"/>
        <v>649.96</v>
      </c>
      <c r="Z36" s="71">
        <f t="shared" si="92"/>
        <v>3698.97</v>
      </c>
      <c r="AA36" s="71">
        <f t="shared" si="92"/>
        <v>30.92</v>
      </c>
      <c r="AB36" s="70">
        <f t="shared" si="3"/>
        <v>3729.89</v>
      </c>
      <c r="AC36" s="43">
        <f t="shared" si="4"/>
        <v>0</v>
      </c>
      <c r="AD36" s="70">
        <f t="shared" ref="AD36:CP36" si="93">+AD34+AD35</f>
        <v>3729.89</v>
      </c>
      <c r="AE36" s="70">
        <f t="shared" si="93"/>
        <v>2350.04</v>
      </c>
      <c r="AF36" s="70">
        <f t="shared" si="93"/>
        <v>2706.6</v>
      </c>
      <c r="AG36" s="70">
        <f t="shared" si="93"/>
        <v>933</v>
      </c>
      <c r="AH36" s="70">
        <f t="shared" si="93"/>
        <v>588</v>
      </c>
      <c r="AI36" s="96">
        <f t="shared" si="93"/>
        <v>311</v>
      </c>
      <c r="AJ36" s="70">
        <f t="shared" si="93"/>
        <v>196</v>
      </c>
      <c r="AK36" s="70">
        <f t="shared" si="93"/>
        <v>0</v>
      </c>
      <c r="AL36" s="70">
        <f t="shared" si="93"/>
        <v>0</v>
      </c>
      <c r="AM36" s="70">
        <f t="shared" si="93"/>
        <v>932.47</v>
      </c>
      <c r="AN36" s="70">
        <f t="shared" si="93"/>
        <v>572.23</v>
      </c>
      <c r="AO36" s="70">
        <f t="shared" si="93"/>
        <v>0</v>
      </c>
      <c r="AP36" s="70">
        <f t="shared" si="93"/>
        <v>0</v>
      </c>
      <c r="AQ36" s="70">
        <f t="shared" si="93"/>
        <v>1865.47</v>
      </c>
      <c r="AR36" s="70">
        <f t="shared" si="93"/>
        <v>1160.23</v>
      </c>
      <c r="AS36" s="70">
        <f t="shared" si="93"/>
        <v>0</v>
      </c>
      <c r="AT36" s="70">
        <f t="shared" si="93"/>
        <v>0</v>
      </c>
      <c r="AU36" s="70">
        <f t="shared" si="93"/>
        <v>932.47</v>
      </c>
      <c r="AV36" s="70">
        <f t="shared" si="93"/>
        <v>587.51</v>
      </c>
      <c r="AW36" s="70">
        <f t="shared" si="93"/>
        <v>0</v>
      </c>
      <c r="AX36" s="70">
        <f t="shared" si="93"/>
        <v>0</v>
      </c>
      <c r="AY36" s="70">
        <f t="shared" si="93"/>
        <v>3108.94</v>
      </c>
      <c r="AZ36" s="70">
        <f t="shared" si="93"/>
        <v>1943.74</v>
      </c>
      <c r="BA36" s="70">
        <f t="shared" si="93"/>
        <v>5052.68</v>
      </c>
      <c r="BB36" s="70">
        <f t="shared" si="93"/>
        <v>2982.7</v>
      </c>
      <c r="BC36" s="70">
        <f t="shared" si="93"/>
        <v>1758.21</v>
      </c>
      <c r="BD36" s="70">
        <f t="shared" si="93"/>
        <v>126.24000000000024</v>
      </c>
      <c r="BE36" s="70">
        <f t="shared" si="93"/>
        <v>185.52999999999997</v>
      </c>
      <c r="BF36" s="70">
        <f t="shared" si="93"/>
        <v>596.54</v>
      </c>
      <c r="BG36" s="96">
        <f t="shared" si="93"/>
        <v>351.64</v>
      </c>
      <c r="BH36" s="96">
        <f t="shared" si="93"/>
        <v>234.73999999999998</v>
      </c>
      <c r="BI36" s="96">
        <f t="shared" si="93"/>
        <v>50</v>
      </c>
      <c r="BJ36" s="96">
        <f t="shared" si="93"/>
        <v>0</v>
      </c>
      <c r="BK36" s="96">
        <f t="shared" si="93"/>
        <v>0</v>
      </c>
      <c r="BL36" s="96">
        <f t="shared" si="93"/>
        <v>3343.68</v>
      </c>
      <c r="BM36" s="96">
        <f t="shared" si="93"/>
        <v>1993.74</v>
      </c>
      <c r="BN36" s="96">
        <f t="shared" si="93"/>
        <v>5337.42</v>
      </c>
      <c r="BO36" s="96">
        <f t="shared" si="93"/>
        <v>3228.42</v>
      </c>
      <c r="BP36" s="96">
        <f t="shared" si="93"/>
        <v>1968.87</v>
      </c>
      <c r="BQ36" s="70">
        <f t="shared" si="93"/>
        <v>115.25999999999988</v>
      </c>
      <c r="BR36" s="70">
        <f t="shared" si="93"/>
        <v>24.870000000000118</v>
      </c>
      <c r="BS36" s="70">
        <f t="shared" si="93"/>
        <v>293.5</v>
      </c>
      <c r="BT36" s="70">
        <f t="shared" si="93"/>
        <v>178.99</v>
      </c>
      <c r="BU36" s="70">
        <f t="shared" si="93"/>
        <v>280</v>
      </c>
      <c r="BV36" s="70">
        <f t="shared" si="93"/>
        <v>300</v>
      </c>
      <c r="BW36" s="70">
        <f t="shared" si="93"/>
        <v>0</v>
      </c>
      <c r="BX36" s="70">
        <f t="shared" si="93"/>
        <v>104.03</v>
      </c>
      <c r="BY36" s="70">
        <f t="shared" si="93"/>
        <v>0</v>
      </c>
      <c r="BZ36" s="70">
        <f t="shared" si="93"/>
        <v>0</v>
      </c>
      <c r="CA36" s="70">
        <f t="shared" si="93"/>
        <v>3623.68</v>
      </c>
      <c r="CB36" s="70">
        <f t="shared" si="93"/>
        <v>2397.77</v>
      </c>
      <c r="CC36" s="70">
        <f t="shared" si="93"/>
        <v>3986.05</v>
      </c>
      <c r="CD36" s="70">
        <f t="shared" si="93"/>
        <v>2757.44</v>
      </c>
      <c r="CE36" s="70">
        <f t="shared" si="93"/>
        <v>332</v>
      </c>
      <c r="CF36" s="70">
        <f t="shared" si="93"/>
        <v>230</v>
      </c>
      <c r="CG36" s="70">
        <f t="shared" si="93"/>
        <v>905.92000000000007</v>
      </c>
      <c r="CH36" s="96">
        <f t="shared" si="93"/>
        <v>599.44000000000005</v>
      </c>
      <c r="CI36" s="70">
        <f t="shared" si="93"/>
        <v>0</v>
      </c>
      <c r="CJ36" s="70">
        <f t="shared" si="93"/>
        <v>0</v>
      </c>
      <c r="CK36" s="70">
        <f t="shared" si="93"/>
        <v>969</v>
      </c>
      <c r="CL36" s="70">
        <f t="shared" si="93"/>
        <v>640</v>
      </c>
      <c r="CM36" s="70">
        <f t="shared" si="93"/>
        <v>0</v>
      </c>
      <c r="CN36" s="70">
        <f t="shared" si="93"/>
        <v>0</v>
      </c>
      <c r="CO36" s="70">
        <f t="shared" si="93"/>
        <v>5329.5</v>
      </c>
      <c r="CP36" s="70">
        <f t="shared" si="93"/>
        <v>3000</v>
      </c>
      <c r="CQ36" s="70">
        <f t="shared" ref="CQ36:FB36" si="94">+CQ34+CQ35</f>
        <v>3876</v>
      </c>
      <c r="CR36" s="70">
        <f t="shared" si="94"/>
        <v>2560</v>
      </c>
      <c r="CS36" s="70">
        <f t="shared" si="94"/>
        <v>3876</v>
      </c>
      <c r="CT36" s="70">
        <f t="shared" si="94"/>
        <v>2560</v>
      </c>
      <c r="CU36" s="70">
        <f t="shared" si="94"/>
        <v>3890</v>
      </c>
      <c r="CV36" s="70">
        <f t="shared" si="94"/>
        <v>2700</v>
      </c>
      <c r="CW36" s="70">
        <f t="shared" si="94"/>
        <v>972.5</v>
      </c>
      <c r="CX36" s="70">
        <f t="shared" si="94"/>
        <v>665</v>
      </c>
      <c r="CY36" s="70">
        <f t="shared" si="94"/>
        <v>0</v>
      </c>
      <c r="CZ36" s="70">
        <f t="shared" si="94"/>
        <v>0</v>
      </c>
      <c r="DA36" s="70">
        <f t="shared" si="94"/>
        <v>2273.5</v>
      </c>
      <c r="DB36" s="70">
        <f t="shared" si="94"/>
        <v>1535</v>
      </c>
      <c r="DC36" s="70">
        <f t="shared" si="94"/>
        <v>2235.09</v>
      </c>
      <c r="DD36" s="70">
        <f t="shared" si="94"/>
        <v>1305.51</v>
      </c>
      <c r="DE36" s="70">
        <f t="shared" si="94"/>
        <v>38.410000000000082</v>
      </c>
      <c r="DF36" s="70">
        <f t="shared" si="94"/>
        <v>229.49</v>
      </c>
      <c r="DG36" s="70">
        <f t="shared" si="94"/>
        <v>972.5</v>
      </c>
      <c r="DH36" s="70">
        <f t="shared" si="94"/>
        <v>675</v>
      </c>
      <c r="DI36" s="70">
        <f t="shared" si="94"/>
        <v>934.08999999999992</v>
      </c>
      <c r="DJ36" s="70">
        <f t="shared" si="94"/>
        <v>445.51</v>
      </c>
      <c r="DK36" s="70">
        <f t="shared" si="94"/>
        <v>50</v>
      </c>
      <c r="DL36" s="70">
        <f t="shared" si="94"/>
        <v>100</v>
      </c>
      <c r="DM36" s="70">
        <f t="shared" si="94"/>
        <v>3257.59</v>
      </c>
      <c r="DN36" s="70">
        <f t="shared" si="94"/>
        <v>2080.5100000000002</v>
      </c>
      <c r="DO36" s="97">
        <f t="shared" si="94"/>
        <v>3225.23</v>
      </c>
      <c r="DP36" s="98">
        <f t="shared" si="94"/>
        <v>2044.64</v>
      </c>
      <c r="DQ36" s="98">
        <f t="shared" si="94"/>
        <v>32.36</v>
      </c>
      <c r="DR36" s="98">
        <f t="shared" si="94"/>
        <v>35.869999999999997</v>
      </c>
      <c r="DS36" s="98">
        <f t="shared" si="94"/>
        <v>322.52299999999997</v>
      </c>
      <c r="DT36" s="98">
        <f t="shared" si="94"/>
        <v>204.464</v>
      </c>
      <c r="DU36" s="98">
        <f t="shared" si="94"/>
        <v>290.16299999999995</v>
      </c>
      <c r="DV36" s="98">
        <f t="shared" si="94"/>
        <v>168.59399999999999</v>
      </c>
      <c r="DW36" s="98">
        <f t="shared" si="94"/>
        <v>50</v>
      </c>
      <c r="DX36" s="98">
        <f t="shared" si="94"/>
        <v>100</v>
      </c>
      <c r="DY36" s="98">
        <f t="shared" si="94"/>
        <v>340.15999999999997</v>
      </c>
      <c r="DZ36" s="98">
        <f>+DZ34+DZ35</f>
        <v>268.58999999999997</v>
      </c>
      <c r="EA36" s="98">
        <f t="shared" ref="EA36:ET36" si="95">+EA34+EA35</f>
        <v>0</v>
      </c>
      <c r="EB36" s="134">
        <f t="shared" si="95"/>
        <v>0</v>
      </c>
      <c r="EC36" s="140">
        <f t="shared" si="95"/>
        <v>3597.75</v>
      </c>
      <c r="ED36" s="140">
        <f t="shared" si="95"/>
        <v>2349.1000000000004</v>
      </c>
      <c r="EE36" s="140">
        <f t="shared" si="95"/>
        <v>3465.24</v>
      </c>
      <c r="EF36" s="140">
        <f t="shared" si="95"/>
        <v>2298.6799999999998</v>
      </c>
      <c r="EG36" s="140">
        <f t="shared" si="95"/>
        <v>188.53</v>
      </c>
      <c r="EH36" s="140" t="e">
        <f t="shared" si="95"/>
        <v>#DIV/0!</v>
      </c>
      <c r="EI36" s="140">
        <f t="shared" si="95"/>
        <v>132.51</v>
      </c>
      <c r="EJ36" s="140">
        <f t="shared" si="95"/>
        <v>50.42</v>
      </c>
      <c r="EK36" s="140">
        <f t="shared" si="95"/>
        <v>315.02</v>
      </c>
      <c r="EL36" s="140">
        <f t="shared" si="95"/>
        <v>208.97</v>
      </c>
      <c r="EM36" s="140">
        <f t="shared" si="95"/>
        <v>182.51</v>
      </c>
      <c r="EN36" s="140">
        <f t="shared" si="95"/>
        <v>158.55000000000001</v>
      </c>
      <c r="EO36" s="140">
        <f t="shared" si="95"/>
        <v>222.95</v>
      </c>
      <c r="EP36" s="140">
        <f t="shared" si="95"/>
        <v>300</v>
      </c>
      <c r="EQ36" s="136">
        <f t="shared" si="95"/>
        <v>0</v>
      </c>
      <c r="ER36" s="47">
        <f t="shared" si="95"/>
        <v>0</v>
      </c>
      <c r="ES36" s="47">
        <f t="shared" si="95"/>
        <v>0</v>
      </c>
      <c r="ET36" s="47">
        <f t="shared" si="95"/>
        <v>0</v>
      </c>
      <c r="EU36" s="5">
        <f t="shared" si="88"/>
        <v>99.300000000000011</v>
      </c>
      <c r="EV36" s="5">
        <f t="shared" si="88"/>
        <v>100.89999999999964</v>
      </c>
      <c r="EW36" s="46">
        <f t="shared" si="94"/>
        <v>3920</v>
      </c>
      <c r="EX36" s="46">
        <f t="shared" si="94"/>
        <v>2750</v>
      </c>
      <c r="EY36" s="46">
        <f t="shared" si="94"/>
        <v>5234.93</v>
      </c>
      <c r="EZ36" s="46">
        <f t="shared" si="94"/>
        <v>3000</v>
      </c>
      <c r="FA36" s="46">
        <f t="shared" si="94"/>
        <v>0</v>
      </c>
      <c r="FB36" s="46">
        <f t="shared" si="94"/>
        <v>0</v>
      </c>
      <c r="FC36" s="46">
        <f t="shared" ref="FC36" si="96">+FC34+FC35</f>
        <v>0</v>
      </c>
    </row>
    <row r="37" spans="1:159" ht="18.75" x14ac:dyDescent="0.25">
      <c r="A37" s="37">
        <v>25</v>
      </c>
      <c r="B37" s="37"/>
      <c r="C37" s="91" t="s">
        <v>136</v>
      </c>
      <c r="D37" s="38" t="s">
        <v>150</v>
      </c>
      <c r="E37" s="39"/>
      <c r="F37" s="40">
        <v>454.27000000000004</v>
      </c>
      <c r="G37" s="40">
        <v>6</v>
      </c>
      <c r="H37" s="40">
        <v>454.27000000000004</v>
      </c>
      <c r="I37" s="40">
        <v>6</v>
      </c>
      <c r="J37" s="41">
        <v>454.27</v>
      </c>
      <c r="K37" s="41">
        <v>0</v>
      </c>
      <c r="L37" s="41">
        <v>0</v>
      </c>
      <c r="M37" s="41">
        <f>J37+L37+K37</f>
        <v>454.27</v>
      </c>
      <c r="N37" s="41">
        <v>0</v>
      </c>
      <c r="O37" s="41">
        <v>0</v>
      </c>
      <c r="P37" s="41">
        <v>0</v>
      </c>
      <c r="Q37" s="41">
        <f>+N37+P37+O37</f>
        <v>0</v>
      </c>
      <c r="R37" s="41">
        <f>+Q37+M37</f>
        <v>454.27</v>
      </c>
      <c r="S37" s="41">
        <v>6</v>
      </c>
      <c r="T37" s="92"/>
      <c r="U37" s="92"/>
      <c r="V37" s="40">
        <f t="shared" ref="V37:V38" si="97">ROUND(H37*1.0583,2)</f>
        <v>480.75</v>
      </c>
      <c r="W37" s="40">
        <f t="shared" ref="W37:W38" si="98">ROUND(I37*1.0327,2)</f>
        <v>6.2</v>
      </c>
      <c r="X37" s="43">
        <f t="shared" si="2"/>
        <v>-26.480000000000018</v>
      </c>
      <c r="Y37" s="43">
        <f t="shared" si="2"/>
        <v>-0.20000000000000018</v>
      </c>
      <c r="Z37" s="43">
        <v>480</v>
      </c>
      <c r="AA37" s="43"/>
      <c r="AB37" s="43">
        <f t="shared" si="3"/>
        <v>480</v>
      </c>
      <c r="AC37" s="43">
        <f t="shared" si="4"/>
        <v>0</v>
      </c>
      <c r="AD37" s="43">
        <v>480</v>
      </c>
      <c r="AE37" s="43">
        <f>IF(Y37&gt;0,W37,S37)</f>
        <v>6</v>
      </c>
      <c r="AF37" s="43">
        <f t="shared" si="5"/>
        <v>5.41</v>
      </c>
      <c r="AG37" s="43">
        <f t="shared" si="6"/>
        <v>120</v>
      </c>
      <c r="AH37" s="43">
        <f t="shared" si="6"/>
        <v>2</v>
      </c>
      <c r="AI37" s="93">
        <f t="shared" si="7"/>
        <v>40</v>
      </c>
      <c r="AJ37" s="43">
        <f t="shared" si="7"/>
        <v>1</v>
      </c>
      <c r="AK37" s="43"/>
      <c r="AL37" s="43"/>
      <c r="AM37" s="43">
        <f t="shared" si="8"/>
        <v>120</v>
      </c>
      <c r="AN37" s="43">
        <f t="shared" si="9"/>
        <v>1.46</v>
      </c>
      <c r="AO37" s="43"/>
      <c r="AP37" s="43"/>
      <c r="AQ37" s="43">
        <f t="shared" si="10"/>
        <v>240</v>
      </c>
      <c r="AR37" s="43">
        <f t="shared" si="10"/>
        <v>3.46</v>
      </c>
      <c r="AS37" s="43"/>
      <c r="AT37" s="43"/>
      <c r="AU37" s="43">
        <f t="shared" si="0"/>
        <v>120</v>
      </c>
      <c r="AV37" s="43">
        <f t="shared" si="0"/>
        <v>1.5</v>
      </c>
      <c r="AW37" s="43"/>
      <c r="AX37" s="43"/>
      <c r="AY37" s="43">
        <f t="shared" si="11"/>
        <v>400</v>
      </c>
      <c r="AZ37" s="43">
        <f t="shared" si="11"/>
        <v>5.96</v>
      </c>
      <c r="BA37" s="43">
        <f t="shared" si="12"/>
        <v>405.96</v>
      </c>
      <c r="BB37" s="60">
        <v>380</v>
      </c>
      <c r="BC37" s="60">
        <v>1.1200000000000001</v>
      </c>
      <c r="BD37" s="60">
        <f t="shared" si="13"/>
        <v>20</v>
      </c>
      <c r="BE37" s="60">
        <f t="shared" si="13"/>
        <v>4.84</v>
      </c>
      <c r="BF37" s="60">
        <f t="shared" si="14"/>
        <v>76</v>
      </c>
      <c r="BG37" s="60">
        <f t="shared" si="14"/>
        <v>0.22</v>
      </c>
      <c r="BH37" s="43">
        <v>28</v>
      </c>
      <c r="BI37" s="43">
        <v>0</v>
      </c>
      <c r="BJ37" s="43"/>
      <c r="BK37" s="43"/>
      <c r="BL37" s="43">
        <f t="shared" si="1"/>
        <v>428</v>
      </c>
      <c r="BM37" s="43">
        <f t="shared" si="1"/>
        <v>5.96</v>
      </c>
      <c r="BN37" s="43">
        <f t="shared" si="15"/>
        <v>433.96</v>
      </c>
      <c r="BO37" s="43">
        <v>420</v>
      </c>
      <c r="BP37" s="93">
        <v>1.23</v>
      </c>
      <c r="BQ37" s="43">
        <f t="shared" si="16"/>
        <v>8</v>
      </c>
      <c r="BR37" s="43">
        <f t="shared" si="16"/>
        <v>4.7300000000000004</v>
      </c>
      <c r="BS37" s="43">
        <f t="shared" si="17"/>
        <v>38.18</v>
      </c>
      <c r="BT37" s="43">
        <f t="shared" si="17"/>
        <v>0.11</v>
      </c>
      <c r="BU37" s="43">
        <f t="shared" si="40"/>
        <v>30.18</v>
      </c>
      <c r="BV37" s="43">
        <v>0</v>
      </c>
      <c r="BW37" s="43"/>
      <c r="BX37" s="43">
        <f>80+7</f>
        <v>87</v>
      </c>
      <c r="BY37" s="43"/>
      <c r="BZ37" s="43"/>
      <c r="CA37" s="43">
        <v>458.18</v>
      </c>
      <c r="CB37" s="43">
        <v>92.96</v>
      </c>
      <c r="CC37" s="92">
        <v>504</v>
      </c>
      <c r="CD37" s="92">
        <v>106.9</v>
      </c>
      <c r="CE37" s="92">
        <v>42</v>
      </c>
      <c r="CF37" s="92">
        <v>3</v>
      </c>
      <c r="CG37" s="92">
        <f t="shared" si="19"/>
        <v>114.55</v>
      </c>
      <c r="CH37" s="92">
        <f t="shared" si="19"/>
        <v>23.24</v>
      </c>
      <c r="CI37" s="43"/>
      <c r="CJ37" s="43"/>
      <c r="CK37" s="43">
        <v>120</v>
      </c>
      <c r="CL37" s="43">
        <v>3.45</v>
      </c>
      <c r="CM37" s="43"/>
      <c r="CN37" s="43"/>
      <c r="CO37" s="43">
        <v>520</v>
      </c>
      <c r="CP37" s="43">
        <f>3+3.45</f>
        <v>6.45</v>
      </c>
      <c r="CQ37" s="43">
        <f t="shared" si="20"/>
        <v>480</v>
      </c>
      <c r="CR37" s="43">
        <f t="shared" si="20"/>
        <v>13.8</v>
      </c>
      <c r="CS37" s="43">
        <f t="shared" si="21"/>
        <v>480</v>
      </c>
      <c r="CT37" s="43">
        <f t="shared" si="21"/>
        <v>6.45</v>
      </c>
      <c r="CU37" s="43">
        <v>480</v>
      </c>
      <c r="CV37" s="43">
        <f>6.45+3.55</f>
        <v>10</v>
      </c>
      <c r="CW37" s="43">
        <f t="shared" si="22"/>
        <v>120</v>
      </c>
      <c r="CX37" s="43">
        <f>ROUND(CV37*25%,2)-1.61-0.89</f>
        <v>0</v>
      </c>
      <c r="CY37" s="43"/>
      <c r="CZ37" s="43"/>
      <c r="DA37" s="43">
        <f t="shared" si="23"/>
        <v>282</v>
      </c>
      <c r="DB37" s="43">
        <f t="shared" si="23"/>
        <v>6.45</v>
      </c>
      <c r="DC37" s="43">
        <v>275</v>
      </c>
      <c r="DD37" s="43">
        <v>8</v>
      </c>
      <c r="DE37" s="43">
        <f t="shared" si="24"/>
        <v>7</v>
      </c>
      <c r="DF37" s="43">
        <f t="shared" si="24"/>
        <v>-1.5499999999999998</v>
      </c>
      <c r="DG37" s="43">
        <f>ROUND(0.25*(MIN(CU37,EW37)),2)</f>
        <v>120</v>
      </c>
      <c r="DH37" s="43">
        <f>ROUND(0.25*(MIN(CV37,EX37)),2)</f>
        <v>2.5</v>
      </c>
      <c r="DI37" s="43">
        <f>+DG37-DE37</f>
        <v>113</v>
      </c>
      <c r="DJ37" s="43">
        <f>+DH37-DF37-0.5</f>
        <v>3.55</v>
      </c>
      <c r="DK37" s="43"/>
      <c r="DL37" s="43"/>
      <c r="DM37" s="43">
        <f t="shared" si="25"/>
        <v>395</v>
      </c>
      <c r="DN37" s="43">
        <f t="shared" si="25"/>
        <v>10</v>
      </c>
      <c r="DO37" s="104">
        <v>402</v>
      </c>
      <c r="DP37" s="103">
        <v>10.5</v>
      </c>
      <c r="DQ37" s="60">
        <f t="shared" si="26"/>
        <v>-7</v>
      </c>
      <c r="DR37" s="60">
        <f t="shared" si="26"/>
        <v>-0.5</v>
      </c>
      <c r="DS37" s="60">
        <f t="shared" si="27"/>
        <v>40.200000000000003</v>
      </c>
      <c r="DT37" s="60">
        <f t="shared" si="27"/>
        <v>1.05</v>
      </c>
      <c r="DU37" s="60">
        <f t="shared" si="28"/>
        <v>47.2</v>
      </c>
      <c r="DV37" s="60">
        <f t="shared" si="28"/>
        <v>1.55</v>
      </c>
      <c r="DW37" s="60"/>
      <c r="DX37" s="60"/>
      <c r="DY37" s="60">
        <f t="shared" si="29"/>
        <v>47.2</v>
      </c>
      <c r="DZ37" s="60">
        <f>3.5-0.68</f>
        <v>2.82</v>
      </c>
      <c r="EA37" s="60"/>
      <c r="EB37" s="60"/>
      <c r="EC37" s="43">
        <f t="shared" si="30"/>
        <v>442.2</v>
      </c>
      <c r="ED37" s="43">
        <f t="shared" si="30"/>
        <v>12.82</v>
      </c>
      <c r="EE37" s="43">
        <v>443</v>
      </c>
      <c r="EF37" s="43">
        <v>11.7</v>
      </c>
      <c r="EG37" s="43">
        <f t="shared" si="66"/>
        <v>100.18</v>
      </c>
      <c r="EH37" s="43">
        <f t="shared" si="66"/>
        <v>91.26</v>
      </c>
      <c r="EI37" s="43">
        <f t="shared" si="32"/>
        <v>-0.8</v>
      </c>
      <c r="EJ37" s="43">
        <f t="shared" si="32"/>
        <v>1.1200000000000001</v>
      </c>
      <c r="EK37" s="43">
        <f t="shared" si="33"/>
        <v>40.270000000000003</v>
      </c>
      <c r="EL37" s="43">
        <f t="shared" si="33"/>
        <v>1.06</v>
      </c>
      <c r="EM37" s="43">
        <f t="shared" si="34"/>
        <v>41.07</v>
      </c>
      <c r="EN37" s="43">
        <f t="shared" si="34"/>
        <v>-6.0000000000000053E-2</v>
      </c>
      <c r="EO37" s="43">
        <v>45</v>
      </c>
      <c r="EP37" s="43">
        <v>0</v>
      </c>
      <c r="EQ37" s="5"/>
      <c r="ER37" s="5"/>
      <c r="ES37" s="5"/>
      <c r="ET37" s="48">
        <v>6</v>
      </c>
      <c r="EU37" s="5">
        <f t="shared" si="88"/>
        <v>-2.1999999999999886</v>
      </c>
      <c r="EV37" s="5">
        <f t="shared" si="88"/>
        <v>0</v>
      </c>
      <c r="EW37" s="5">
        <v>485</v>
      </c>
      <c r="EX37" s="5">
        <v>12.82</v>
      </c>
      <c r="EY37" s="5">
        <v>560</v>
      </c>
      <c r="EZ37" s="5">
        <v>10</v>
      </c>
    </row>
    <row r="38" spans="1:159" ht="18.75" x14ac:dyDescent="0.25">
      <c r="A38" s="37">
        <v>26</v>
      </c>
      <c r="B38" s="37"/>
      <c r="C38" s="91" t="s">
        <v>136</v>
      </c>
      <c r="D38" s="38" t="s">
        <v>151</v>
      </c>
      <c r="E38" s="39"/>
      <c r="F38" s="40">
        <v>0</v>
      </c>
      <c r="G38" s="40">
        <v>0</v>
      </c>
      <c r="H38" s="40">
        <v>0</v>
      </c>
      <c r="I38" s="40">
        <v>0</v>
      </c>
      <c r="J38" s="41">
        <v>0</v>
      </c>
      <c r="K38" s="41">
        <v>0</v>
      </c>
      <c r="L38" s="41">
        <v>0</v>
      </c>
      <c r="M38" s="41">
        <f>J38+L38+K38</f>
        <v>0</v>
      </c>
      <c r="N38" s="41">
        <v>0</v>
      </c>
      <c r="O38" s="41">
        <v>0</v>
      </c>
      <c r="P38" s="41">
        <v>0</v>
      </c>
      <c r="Q38" s="41">
        <f>+N38+P38+O38</f>
        <v>0</v>
      </c>
      <c r="R38" s="41">
        <f>+Q38+M38</f>
        <v>0</v>
      </c>
      <c r="S38" s="41"/>
      <c r="T38" s="92"/>
      <c r="U38" s="92"/>
      <c r="V38" s="40">
        <f t="shared" si="97"/>
        <v>0</v>
      </c>
      <c r="W38" s="40">
        <f t="shared" si="98"/>
        <v>0</v>
      </c>
      <c r="X38" s="43">
        <f t="shared" si="2"/>
        <v>0</v>
      </c>
      <c r="Y38" s="43">
        <f t="shared" si="2"/>
        <v>0</v>
      </c>
      <c r="Z38" s="43">
        <v>0</v>
      </c>
      <c r="AA38" s="43"/>
      <c r="AB38" s="43">
        <f t="shared" si="3"/>
        <v>0</v>
      </c>
      <c r="AC38" s="43">
        <f t="shared" si="4"/>
        <v>0</v>
      </c>
      <c r="AD38" s="43">
        <f>IF(X38&gt;0,V38,R38)</f>
        <v>0</v>
      </c>
      <c r="AE38" s="43">
        <f>IF(Y38&gt;0,W38,S38)</f>
        <v>0</v>
      </c>
      <c r="AF38" s="43">
        <f t="shared" si="5"/>
        <v>0</v>
      </c>
      <c r="AG38" s="43">
        <f t="shared" si="6"/>
        <v>0</v>
      </c>
      <c r="AH38" s="43">
        <f t="shared" si="6"/>
        <v>0</v>
      </c>
      <c r="AI38" s="93">
        <f t="shared" si="7"/>
        <v>0</v>
      </c>
      <c r="AJ38" s="43">
        <f t="shared" si="7"/>
        <v>0</v>
      </c>
      <c r="AK38" s="43"/>
      <c r="AL38" s="43"/>
      <c r="AM38" s="43">
        <f t="shared" si="8"/>
        <v>0</v>
      </c>
      <c r="AN38" s="43">
        <f t="shared" si="9"/>
        <v>0</v>
      </c>
      <c r="AO38" s="43"/>
      <c r="AP38" s="43"/>
      <c r="AQ38" s="43">
        <f t="shared" si="10"/>
        <v>0</v>
      </c>
      <c r="AR38" s="43">
        <f t="shared" si="10"/>
        <v>0</v>
      </c>
      <c r="AS38" s="43"/>
      <c r="AT38" s="43"/>
      <c r="AU38" s="43">
        <f t="shared" si="0"/>
        <v>0</v>
      </c>
      <c r="AV38" s="43">
        <f t="shared" si="0"/>
        <v>0</v>
      </c>
      <c r="AW38" s="43"/>
      <c r="AX38" s="43"/>
      <c r="AY38" s="43">
        <f t="shared" si="11"/>
        <v>0</v>
      </c>
      <c r="AZ38" s="43">
        <f t="shared" si="11"/>
        <v>0</v>
      </c>
      <c r="BA38" s="43">
        <f t="shared" si="12"/>
        <v>0</v>
      </c>
      <c r="BB38" s="60">
        <v>0</v>
      </c>
      <c r="BC38" s="60"/>
      <c r="BD38" s="60">
        <f t="shared" si="13"/>
        <v>0</v>
      </c>
      <c r="BE38" s="60">
        <f t="shared" si="13"/>
        <v>0</v>
      </c>
      <c r="BF38" s="60">
        <f t="shared" si="14"/>
        <v>0</v>
      </c>
      <c r="BG38" s="60">
        <f t="shared" si="14"/>
        <v>0</v>
      </c>
      <c r="BH38" s="43">
        <v>0</v>
      </c>
      <c r="BI38" s="43">
        <v>0</v>
      </c>
      <c r="BJ38" s="43"/>
      <c r="BK38" s="43"/>
      <c r="BL38" s="43">
        <f t="shared" si="1"/>
        <v>0</v>
      </c>
      <c r="BM38" s="43">
        <f t="shared" si="1"/>
        <v>0</v>
      </c>
      <c r="BN38" s="43">
        <f t="shared" si="15"/>
        <v>0</v>
      </c>
      <c r="BO38" s="43"/>
      <c r="BP38" s="93"/>
      <c r="BQ38" s="43">
        <f t="shared" si="16"/>
        <v>0</v>
      </c>
      <c r="BR38" s="43">
        <f t="shared" si="16"/>
        <v>0</v>
      </c>
      <c r="BS38" s="43">
        <f t="shared" si="17"/>
        <v>0</v>
      </c>
      <c r="BT38" s="43">
        <f t="shared" si="17"/>
        <v>0</v>
      </c>
      <c r="BU38" s="43">
        <f t="shared" si="40"/>
        <v>0</v>
      </c>
      <c r="BV38" s="43">
        <f t="shared" ref="BV38:BV74" si="99">ROUND(BT38-BR38,2)</f>
        <v>0</v>
      </c>
      <c r="BW38" s="43"/>
      <c r="BX38" s="43"/>
      <c r="BY38" s="43"/>
      <c r="BZ38" s="43"/>
      <c r="CA38" s="43">
        <v>0</v>
      </c>
      <c r="CB38" s="43">
        <v>0</v>
      </c>
      <c r="CC38" s="92">
        <v>0</v>
      </c>
      <c r="CD38" s="92">
        <v>0</v>
      </c>
      <c r="CE38" s="92">
        <v>0</v>
      </c>
      <c r="CF38" s="92">
        <v>0</v>
      </c>
      <c r="CG38" s="92">
        <f t="shared" si="19"/>
        <v>0</v>
      </c>
      <c r="CH38" s="92">
        <f t="shared" si="19"/>
        <v>0</v>
      </c>
      <c r="CI38" s="43"/>
      <c r="CJ38" s="43"/>
      <c r="CK38" s="43">
        <v>0</v>
      </c>
      <c r="CL38" s="43">
        <v>0</v>
      </c>
      <c r="CM38" s="43"/>
      <c r="CN38" s="43"/>
      <c r="CO38" s="43">
        <v>0</v>
      </c>
      <c r="CP38" s="43">
        <v>0</v>
      </c>
      <c r="CQ38" s="43">
        <f t="shared" si="20"/>
        <v>0</v>
      </c>
      <c r="CR38" s="43">
        <f t="shared" si="20"/>
        <v>0</v>
      </c>
      <c r="CS38" s="43">
        <f t="shared" si="21"/>
        <v>0</v>
      </c>
      <c r="CT38" s="43">
        <f t="shared" si="21"/>
        <v>0</v>
      </c>
      <c r="CU38" s="43">
        <v>0</v>
      </c>
      <c r="CV38" s="43">
        <v>0</v>
      </c>
      <c r="CW38" s="43">
        <f t="shared" si="22"/>
        <v>0</v>
      </c>
      <c r="CX38" s="43">
        <f t="shared" si="22"/>
        <v>0</v>
      </c>
      <c r="CY38" s="43"/>
      <c r="CZ38" s="43"/>
      <c r="DA38" s="43">
        <f t="shared" si="23"/>
        <v>0</v>
      </c>
      <c r="DB38" s="43">
        <f t="shared" si="23"/>
        <v>0</v>
      </c>
      <c r="DC38" s="43">
        <v>0</v>
      </c>
      <c r="DD38" s="43">
        <v>0</v>
      </c>
      <c r="DE38" s="43">
        <f t="shared" si="24"/>
        <v>0</v>
      </c>
      <c r="DF38" s="43">
        <f t="shared" si="24"/>
        <v>0</v>
      </c>
      <c r="DG38" s="43">
        <f>ROUND(0.25*(MIN(CU38,EW38)),2)</f>
        <v>0</v>
      </c>
      <c r="DH38" s="43">
        <f>ROUND(0.25*(MIN(CV38,EX38)),2)</f>
        <v>0</v>
      </c>
      <c r="DI38" s="43">
        <f>+DG38-DE38</f>
        <v>0</v>
      </c>
      <c r="DJ38" s="43">
        <f>+DH38-DF38</f>
        <v>0</v>
      </c>
      <c r="DK38" s="43"/>
      <c r="DL38" s="43"/>
      <c r="DM38" s="43">
        <f t="shared" si="25"/>
        <v>0</v>
      </c>
      <c r="DN38" s="43">
        <f t="shared" si="25"/>
        <v>0</v>
      </c>
      <c r="DO38" s="94">
        <v>0</v>
      </c>
      <c r="DP38" s="95">
        <v>0</v>
      </c>
      <c r="DQ38" s="60">
        <f t="shared" si="26"/>
        <v>0</v>
      </c>
      <c r="DR38" s="60">
        <f t="shared" si="26"/>
        <v>0</v>
      </c>
      <c r="DS38" s="60">
        <f t="shared" si="27"/>
        <v>0</v>
      </c>
      <c r="DT38" s="60">
        <f t="shared" si="27"/>
        <v>0</v>
      </c>
      <c r="DU38" s="60">
        <f t="shared" si="28"/>
        <v>0</v>
      </c>
      <c r="DV38" s="60">
        <f t="shared" si="28"/>
        <v>0</v>
      </c>
      <c r="DW38" s="60"/>
      <c r="DX38" s="60"/>
      <c r="DY38" s="60">
        <f t="shared" si="29"/>
        <v>0</v>
      </c>
      <c r="DZ38" s="60">
        <f t="shared" si="29"/>
        <v>0</v>
      </c>
      <c r="EA38" s="60"/>
      <c r="EB38" s="60"/>
      <c r="EC38" s="43">
        <f t="shared" si="30"/>
        <v>0</v>
      </c>
      <c r="ED38" s="43">
        <f t="shared" si="30"/>
        <v>0</v>
      </c>
      <c r="EE38" s="43"/>
      <c r="EF38" s="43"/>
      <c r="EG38" s="43" t="e">
        <f t="shared" si="66"/>
        <v>#DIV/0!</v>
      </c>
      <c r="EH38" s="43" t="e">
        <f t="shared" si="66"/>
        <v>#DIV/0!</v>
      </c>
      <c r="EI38" s="43">
        <f t="shared" si="32"/>
        <v>0</v>
      </c>
      <c r="EJ38" s="43">
        <f t="shared" si="32"/>
        <v>0</v>
      </c>
      <c r="EK38" s="43">
        <f t="shared" si="33"/>
        <v>0</v>
      </c>
      <c r="EL38" s="43">
        <f t="shared" si="33"/>
        <v>0</v>
      </c>
      <c r="EM38" s="43">
        <f t="shared" si="34"/>
        <v>0</v>
      </c>
      <c r="EN38" s="43">
        <f t="shared" si="34"/>
        <v>0</v>
      </c>
      <c r="EO38" s="43">
        <v>0</v>
      </c>
      <c r="EP38" s="43">
        <v>0</v>
      </c>
      <c r="EQ38" s="5"/>
      <c r="ER38" s="5"/>
      <c r="ES38" s="5"/>
      <c r="ET38" s="5"/>
      <c r="EU38" s="5">
        <f t="shared" si="88"/>
        <v>0</v>
      </c>
      <c r="EV38" s="5">
        <f t="shared" si="88"/>
        <v>0</v>
      </c>
      <c r="EW38" s="5">
        <v>0</v>
      </c>
      <c r="EX38" s="5">
        <v>0</v>
      </c>
      <c r="EY38" s="5">
        <v>0</v>
      </c>
      <c r="EZ38" s="5">
        <v>0</v>
      </c>
    </row>
    <row r="39" spans="1:159" ht="18.75" x14ac:dyDescent="0.25">
      <c r="A39" s="68"/>
      <c r="B39" s="68" t="s">
        <v>152</v>
      </c>
      <c r="C39" s="91" t="s">
        <v>136</v>
      </c>
      <c r="D39" s="67" t="s">
        <v>150</v>
      </c>
      <c r="E39" s="69" t="s">
        <v>153</v>
      </c>
      <c r="F39" s="70">
        <v>454.27000000000004</v>
      </c>
      <c r="G39" s="70">
        <v>6</v>
      </c>
      <c r="H39" s="70">
        <v>454.27000000000004</v>
      </c>
      <c r="I39" s="70">
        <v>6</v>
      </c>
      <c r="J39" s="71">
        <f t="shared" ref="J39:AA39" si="100">+J37+J38</f>
        <v>454.27</v>
      </c>
      <c r="K39" s="71">
        <f t="shared" si="100"/>
        <v>0</v>
      </c>
      <c r="L39" s="71">
        <f t="shared" si="100"/>
        <v>0</v>
      </c>
      <c r="M39" s="71">
        <f t="shared" si="100"/>
        <v>454.27</v>
      </c>
      <c r="N39" s="71">
        <f t="shared" si="100"/>
        <v>0</v>
      </c>
      <c r="O39" s="71">
        <f t="shared" si="100"/>
        <v>0</v>
      </c>
      <c r="P39" s="71">
        <f t="shared" si="100"/>
        <v>0</v>
      </c>
      <c r="Q39" s="71">
        <f t="shared" si="100"/>
        <v>0</v>
      </c>
      <c r="R39" s="71">
        <f t="shared" si="100"/>
        <v>454.27</v>
      </c>
      <c r="S39" s="71">
        <f t="shared" si="100"/>
        <v>6</v>
      </c>
      <c r="T39" s="71">
        <f t="shared" si="100"/>
        <v>0</v>
      </c>
      <c r="U39" s="71">
        <f t="shared" si="100"/>
        <v>0</v>
      </c>
      <c r="V39" s="71">
        <f t="shared" si="100"/>
        <v>480.75</v>
      </c>
      <c r="W39" s="71">
        <f t="shared" si="100"/>
        <v>6.2</v>
      </c>
      <c r="X39" s="71">
        <f t="shared" si="100"/>
        <v>-26.480000000000018</v>
      </c>
      <c r="Y39" s="71">
        <f t="shared" si="100"/>
        <v>-0.20000000000000018</v>
      </c>
      <c r="Z39" s="71">
        <f t="shared" si="100"/>
        <v>480</v>
      </c>
      <c r="AA39" s="71">
        <f t="shared" si="100"/>
        <v>0</v>
      </c>
      <c r="AB39" s="70">
        <f t="shared" si="3"/>
        <v>480</v>
      </c>
      <c r="AC39" s="43">
        <f t="shared" si="4"/>
        <v>0</v>
      </c>
      <c r="AD39" s="70">
        <f t="shared" ref="AD39:CP39" si="101">+AD37+AD38</f>
        <v>480</v>
      </c>
      <c r="AE39" s="70">
        <f t="shared" si="101"/>
        <v>6</v>
      </c>
      <c r="AF39" s="70">
        <f t="shared" si="101"/>
        <v>5.41</v>
      </c>
      <c r="AG39" s="70">
        <f t="shared" si="101"/>
        <v>120</v>
      </c>
      <c r="AH39" s="70">
        <f t="shared" si="101"/>
        <v>2</v>
      </c>
      <c r="AI39" s="96">
        <f t="shared" si="101"/>
        <v>40</v>
      </c>
      <c r="AJ39" s="70">
        <f t="shared" si="101"/>
        <v>1</v>
      </c>
      <c r="AK39" s="70">
        <f t="shared" si="101"/>
        <v>0</v>
      </c>
      <c r="AL39" s="70">
        <f t="shared" si="101"/>
        <v>0</v>
      </c>
      <c r="AM39" s="70">
        <f t="shared" si="101"/>
        <v>120</v>
      </c>
      <c r="AN39" s="70">
        <f t="shared" si="101"/>
        <v>1.46</v>
      </c>
      <c r="AO39" s="70">
        <f t="shared" si="101"/>
        <v>0</v>
      </c>
      <c r="AP39" s="70">
        <f t="shared" si="101"/>
        <v>0</v>
      </c>
      <c r="AQ39" s="70">
        <f t="shared" si="101"/>
        <v>240</v>
      </c>
      <c r="AR39" s="70">
        <f t="shared" si="101"/>
        <v>3.46</v>
      </c>
      <c r="AS39" s="70">
        <f t="shared" si="101"/>
        <v>0</v>
      </c>
      <c r="AT39" s="70">
        <f t="shared" si="101"/>
        <v>0</v>
      </c>
      <c r="AU39" s="70">
        <f t="shared" si="101"/>
        <v>120</v>
      </c>
      <c r="AV39" s="70">
        <f t="shared" si="101"/>
        <v>1.5</v>
      </c>
      <c r="AW39" s="70">
        <f t="shared" si="101"/>
        <v>0</v>
      </c>
      <c r="AX39" s="70">
        <f t="shared" si="101"/>
        <v>0</v>
      </c>
      <c r="AY39" s="70">
        <f t="shared" si="101"/>
        <v>400</v>
      </c>
      <c r="AZ39" s="70">
        <f t="shared" si="101"/>
        <v>5.96</v>
      </c>
      <c r="BA39" s="70">
        <f t="shared" si="101"/>
        <v>405.96</v>
      </c>
      <c r="BB39" s="70">
        <f t="shared" si="101"/>
        <v>380</v>
      </c>
      <c r="BC39" s="70">
        <f t="shared" si="101"/>
        <v>1.1200000000000001</v>
      </c>
      <c r="BD39" s="70">
        <f t="shared" si="101"/>
        <v>20</v>
      </c>
      <c r="BE39" s="70">
        <f t="shared" si="101"/>
        <v>4.84</v>
      </c>
      <c r="BF39" s="70">
        <f t="shared" si="101"/>
        <v>76</v>
      </c>
      <c r="BG39" s="96">
        <f t="shared" si="101"/>
        <v>0.22</v>
      </c>
      <c r="BH39" s="96">
        <f t="shared" si="101"/>
        <v>28</v>
      </c>
      <c r="BI39" s="96">
        <f t="shared" si="101"/>
        <v>0</v>
      </c>
      <c r="BJ39" s="96">
        <f t="shared" si="101"/>
        <v>0</v>
      </c>
      <c r="BK39" s="96">
        <f t="shared" si="101"/>
        <v>0</v>
      </c>
      <c r="BL39" s="96">
        <f t="shared" si="101"/>
        <v>428</v>
      </c>
      <c r="BM39" s="96">
        <f t="shared" si="101"/>
        <v>5.96</v>
      </c>
      <c r="BN39" s="96">
        <f t="shared" si="101"/>
        <v>433.96</v>
      </c>
      <c r="BO39" s="96">
        <f t="shared" si="101"/>
        <v>420</v>
      </c>
      <c r="BP39" s="96">
        <f t="shared" si="101"/>
        <v>1.23</v>
      </c>
      <c r="BQ39" s="70">
        <f t="shared" si="101"/>
        <v>8</v>
      </c>
      <c r="BR39" s="70">
        <f t="shared" si="101"/>
        <v>4.7300000000000004</v>
      </c>
      <c r="BS39" s="70">
        <f t="shared" si="101"/>
        <v>38.18</v>
      </c>
      <c r="BT39" s="70">
        <f t="shared" si="101"/>
        <v>0.11</v>
      </c>
      <c r="BU39" s="70">
        <f t="shared" si="101"/>
        <v>30.18</v>
      </c>
      <c r="BV39" s="70">
        <f t="shared" si="101"/>
        <v>0</v>
      </c>
      <c r="BW39" s="70">
        <f t="shared" si="101"/>
        <v>0</v>
      </c>
      <c r="BX39" s="70">
        <f t="shared" si="101"/>
        <v>87</v>
      </c>
      <c r="BY39" s="70">
        <f t="shared" si="101"/>
        <v>0</v>
      </c>
      <c r="BZ39" s="70">
        <f t="shared" si="101"/>
        <v>0</v>
      </c>
      <c r="CA39" s="70">
        <f t="shared" si="101"/>
        <v>458.18</v>
      </c>
      <c r="CB39" s="70">
        <f t="shared" si="101"/>
        <v>92.96</v>
      </c>
      <c r="CC39" s="70">
        <f t="shared" si="101"/>
        <v>504</v>
      </c>
      <c r="CD39" s="70">
        <f t="shared" si="101"/>
        <v>106.9</v>
      </c>
      <c r="CE39" s="70">
        <f t="shared" si="101"/>
        <v>42</v>
      </c>
      <c r="CF39" s="70">
        <f t="shared" si="101"/>
        <v>3</v>
      </c>
      <c r="CG39" s="70">
        <f t="shared" si="101"/>
        <v>114.55</v>
      </c>
      <c r="CH39" s="96">
        <f t="shared" si="101"/>
        <v>23.24</v>
      </c>
      <c r="CI39" s="70">
        <f t="shared" si="101"/>
        <v>0</v>
      </c>
      <c r="CJ39" s="70">
        <f t="shared" si="101"/>
        <v>0</v>
      </c>
      <c r="CK39" s="70">
        <f t="shared" si="101"/>
        <v>120</v>
      </c>
      <c r="CL39" s="70">
        <f t="shared" si="101"/>
        <v>3.45</v>
      </c>
      <c r="CM39" s="70">
        <f t="shared" si="101"/>
        <v>0</v>
      </c>
      <c r="CN39" s="70">
        <f t="shared" si="101"/>
        <v>0</v>
      </c>
      <c r="CO39" s="70">
        <f t="shared" si="101"/>
        <v>520</v>
      </c>
      <c r="CP39" s="70">
        <f t="shared" si="101"/>
        <v>6.45</v>
      </c>
      <c r="CQ39" s="70">
        <f t="shared" ref="CQ39:FB39" si="102">+CQ37+CQ38</f>
        <v>480</v>
      </c>
      <c r="CR39" s="70">
        <f t="shared" si="102"/>
        <v>13.8</v>
      </c>
      <c r="CS39" s="70">
        <f t="shared" si="102"/>
        <v>480</v>
      </c>
      <c r="CT39" s="70">
        <f t="shared" si="102"/>
        <v>6.45</v>
      </c>
      <c r="CU39" s="70">
        <f t="shared" si="102"/>
        <v>480</v>
      </c>
      <c r="CV39" s="70">
        <f t="shared" si="102"/>
        <v>10</v>
      </c>
      <c r="CW39" s="70">
        <f t="shared" si="102"/>
        <v>120</v>
      </c>
      <c r="CX39" s="70">
        <f t="shared" si="102"/>
        <v>0</v>
      </c>
      <c r="CY39" s="70">
        <f t="shared" si="102"/>
        <v>0</v>
      </c>
      <c r="CZ39" s="70">
        <f t="shared" si="102"/>
        <v>0</v>
      </c>
      <c r="DA39" s="70">
        <f t="shared" si="102"/>
        <v>282</v>
      </c>
      <c r="DB39" s="70">
        <f t="shared" si="102"/>
        <v>6.45</v>
      </c>
      <c r="DC39" s="70">
        <f t="shared" si="102"/>
        <v>275</v>
      </c>
      <c r="DD39" s="70">
        <f t="shared" si="102"/>
        <v>8</v>
      </c>
      <c r="DE39" s="70">
        <f t="shared" si="102"/>
        <v>7</v>
      </c>
      <c r="DF39" s="70">
        <f t="shared" si="102"/>
        <v>-1.5499999999999998</v>
      </c>
      <c r="DG39" s="70">
        <f t="shared" si="102"/>
        <v>120</v>
      </c>
      <c r="DH39" s="70">
        <f t="shared" si="102"/>
        <v>2.5</v>
      </c>
      <c r="DI39" s="70">
        <f t="shared" si="102"/>
        <v>113</v>
      </c>
      <c r="DJ39" s="70">
        <f t="shared" si="102"/>
        <v>3.55</v>
      </c>
      <c r="DK39" s="70">
        <f t="shared" si="102"/>
        <v>0</v>
      </c>
      <c r="DL39" s="70">
        <f t="shared" si="102"/>
        <v>0</v>
      </c>
      <c r="DM39" s="70">
        <f t="shared" si="102"/>
        <v>395</v>
      </c>
      <c r="DN39" s="70">
        <f t="shared" si="102"/>
        <v>10</v>
      </c>
      <c r="DO39" s="106">
        <f t="shared" si="102"/>
        <v>402</v>
      </c>
      <c r="DP39" s="106">
        <f t="shared" si="102"/>
        <v>10.5</v>
      </c>
      <c r="DQ39" s="106">
        <f t="shared" si="102"/>
        <v>-7</v>
      </c>
      <c r="DR39" s="106">
        <f t="shared" si="102"/>
        <v>-0.5</v>
      </c>
      <c r="DS39" s="106">
        <f t="shared" si="102"/>
        <v>40.200000000000003</v>
      </c>
      <c r="DT39" s="106">
        <f t="shared" si="102"/>
        <v>1.05</v>
      </c>
      <c r="DU39" s="106">
        <f t="shared" si="102"/>
        <v>47.2</v>
      </c>
      <c r="DV39" s="106">
        <f t="shared" si="102"/>
        <v>1.55</v>
      </c>
      <c r="DW39" s="106">
        <f t="shared" si="102"/>
        <v>0</v>
      </c>
      <c r="DX39" s="106">
        <f t="shared" si="102"/>
        <v>0</v>
      </c>
      <c r="DY39" s="106">
        <f t="shared" si="102"/>
        <v>47.2</v>
      </c>
      <c r="DZ39" s="106">
        <f t="shared" si="102"/>
        <v>2.82</v>
      </c>
      <c r="EA39" s="106">
        <f t="shared" si="102"/>
        <v>0</v>
      </c>
      <c r="EB39" s="135">
        <f t="shared" si="102"/>
        <v>0</v>
      </c>
      <c r="EC39" s="106">
        <f t="shared" si="102"/>
        <v>442.2</v>
      </c>
      <c r="ED39" s="106">
        <f t="shared" si="102"/>
        <v>12.82</v>
      </c>
      <c r="EE39" s="106">
        <f t="shared" si="102"/>
        <v>443</v>
      </c>
      <c r="EF39" s="106">
        <f t="shared" si="102"/>
        <v>11.7</v>
      </c>
      <c r="EG39" s="106" t="e">
        <f t="shared" si="102"/>
        <v>#DIV/0!</v>
      </c>
      <c r="EH39" s="106" t="e">
        <f t="shared" si="102"/>
        <v>#DIV/0!</v>
      </c>
      <c r="EI39" s="106">
        <f t="shared" si="102"/>
        <v>-0.8</v>
      </c>
      <c r="EJ39" s="106">
        <f t="shared" si="102"/>
        <v>1.1200000000000001</v>
      </c>
      <c r="EK39" s="106">
        <f t="shared" si="102"/>
        <v>40.270000000000003</v>
      </c>
      <c r="EL39" s="106">
        <f t="shared" si="102"/>
        <v>1.06</v>
      </c>
      <c r="EM39" s="106">
        <f t="shared" si="102"/>
        <v>41.07</v>
      </c>
      <c r="EN39" s="106">
        <f t="shared" si="102"/>
        <v>-6.0000000000000053E-2</v>
      </c>
      <c r="EO39" s="106">
        <f t="shared" si="102"/>
        <v>45</v>
      </c>
      <c r="EP39" s="106">
        <f t="shared" si="102"/>
        <v>0</v>
      </c>
      <c r="EQ39" s="137"/>
      <c r="ER39" s="59"/>
      <c r="ES39" s="59">
        <f t="shared" si="102"/>
        <v>0</v>
      </c>
      <c r="ET39" s="59">
        <f t="shared" si="102"/>
        <v>6</v>
      </c>
      <c r="EU39" s="5">
        <f t="shared" si="88"/>
        <v>-2.1999999999999886</v>
      </c>
      <c r="EV39" s="5">
        <f t="shared" si="88"/>
        <v>0</v>
      </c>
      <c r="EW39" s="46">
        <f t="shared" si="102"/>
        <v>485</v>
      </c>
      <c r="EX39" s="46">
        <f t="shared" si="102"/>
        <v>12.82</v>
      </c>
      <c r="EY39" s="46">
        <f t="shared" si="102"/>
        <v>560</v>
      </c>
      <c r="EZ39" s="46">
        <f t="shared" si="102"/>
        <v>10</v>
      </c>
      <c r="FA39" s="46">
        <f t="shared" si="102"/>
        <v>0</v>
      </c>
      <c r="FB39" s="46">
        <f t="shared" si="102"/>
        <v>0</v>
      </c>
      <c r="FC39" s="46">
        <f t="shared" ref="FC39" si="103">+FC37+FC38</f>
        <v>0</v>
      </c>
    </row>
    <row r="40" spans="1:159" ht="18.75" x14ac:dyDescent="0.25">
      <c r="A40" s="37">
        <v>27</v>
      </c>
      <c r="B40" s="37"/>
      <c r="C40" s="91" t="s">
        <v>122</v>
      </c>
      <c r="D40" s="38" t="s">
        <v>154</v>
      </c>
      <c r="E40" s="39"/>
      <c r="F40" s="40">
        <v>4665.62</v>
      </c>
      <c r="G40" s="40">
        <v>3823.63</v>
      </c>
      <c r="H40" s="40">
        <v>4665.62</v>
      </c>
      <c r="I40" s="40">
        <v>3823.63</v>
      </c>
      <c r="J40" s="107">
        <v>5200</v>
      </c>
      <c r="K40" s="41">
        <v>35</v>
      </c>
      <c r="L40" s="41">
        <v>0</v>
      </c>
      <c r="M40" s="41">
        <f t="shared" ref="M40:M42" si="104">J40+K40+L40</f>
        <v>5235</v>
      </c>
      <c r="N40" s="41">
        <v>0</v>
      </c>
      <c r="O40" s="41">
        <v>0</v>
      </c>
      <c r="P40" s="41">
        <v>0</v>
      </c>
      <c r="Q40" s="41">
        <f t="shared" ref="Q40:Q48" si="105">N40+O40+P40</f>
        <v>0</v>
      </c>
      <c r="R40" s="41">
        <f t="shared" ref="R40:R84" si="106">Q40+M40</f>
        <v>5235</v>
      </c>
      <c r="S40" s="41">
        <v>4800</v>
      </c>
      <c r="T40" s="92"/>
      <c r="U40" s="92"/>
      <c r="V40" s="40">
        <f t="shared" ref="V40:V42" si="107">ROUND(H40*1.0583,2)</f>
        <v>4937.63</v>
      </c>
      <c r="W40" s="40">
        <f t="shared" ref="W40:W42" si="108">ROUND(I40*1.0327,2)</f>
        <v>3948.66</v>
      </c>
      <c r="X40" s="43">
        <f t="shared" si="2"/>
        <v>297.36999999999989</v>
      </c>
      <c r="Y40" s="43">
        <f t="shared" si="2"/>
        <v>851.34000000000015</v>
      </c>
      <c r="Z40" s="43">
        <v>4937.63</v>
      </c>
      <c r="AA40" s="43"/>
      <c r="AB40" s="43">
        <f t="shared" si="3"/>
        <v>4937.63</v>
      </c>
      <c r="AC40" s="43">
        <f t="shared" si="4"/>
        <v>0</v>
      </c>
      <c r="AD40" s="43">
        <f>IF(X40&gt;0,V40,R40)</f>
        <v>4937.63</v>
      </c>
      <c r="AE40" s="43">
        <f>IF(Y40&gt;0,W40,S40)</f>
        <v>3948.66</v>
      </c>
      <c r="AF40" s="43">
        <f t="shared" si="5"/>
        <v>4330.5600000000004</v>
      </c>
      <c r="AG40" s="43">
        <f t="shared" si="6"/>
        <v>1234</v>
      </c>
      <c r="AH40" s="43">
        <f t="shared" si="6"/>
        <v>987</v>
      </c>
      <c r="AI40" s="93">
        <f t="shared" si="7"/>
        <v>411</v>
      </c>
      <c r="AJ40" s="43">
        <f t="shared" si="7"/>
        <v>329</v>
      </c>
      <c r="AK40" s="43"/>
      <c r="AL40" s="43"/>
      <c r="AM40" s="43">
        <f t="shared" si="8"/>
        <v>1234.4100000000001</v>
      </c>
      <c r="AN40" s="43">
        <f t="shared" si="9"/>
        <v>961.5</v>
      </c>
      <c r="AO40" s="43"/>
      <c r="AP40" s="43"/>
      <c r="AQ40" s="43">
        <f t="shared" si="10"/>
        <v>2468.41</v>
      </c>
      <c r="AR40" s="43">
        <f t="shared" si="10"/>
        <v>1948.5</v>
      </c>
      <c r="AS40" s="43"/>
      <c r="AT40" s="43"/>
      <c r="AU40" s="43">
        <f t="shared" si="0"/>
        <v>1234.4100000000001</v>
      </c>
      <c r="AV40" s="43">
        <f t="shared" si="0"/>
        <v>987.17</v>
      </c>
      <c r="AW40" s="43"/>
      <c r="AX40" s="43">
        <v>550</v>
      </c>
      <c r="AY40" s="43">
        <f t="shared" si="11"/>
        <v>4113.82</v>
      </c>
      <c r="AZ40" s="43">
        <f t="shared" si="11"/>
        <v>3814.67</v>
      </c>
      <c r="BA40" s="43">
        <f t="shared" si="12"/>
        <v>7928.49</v>
      </c>
      <c r="BB40" s="60">
        <v>3849.4</v>
      </c>
      <c r="BC40" s="60">
        <v>3729.28</v>
      </c>
      <c r="BD40" s="60">
        <f t="shared" si="13"/>
        <v>264.41999999999962</v>
      </c>
      <c r="BE40" s="60">
        <f t="shared" si="13"/>
        <v>85.389999999999873</v>
      </c>
      <c r="BF40" s="60">
        <f t="shared" si="14"/>
        <v>769.88</v>
      </c>
      <c r="BG40" s="60">
        <f t="shared" si="14"/>
        <v>745.86</v>
      </c>
      <c r="BH40" s="43">
        <v>252.73</v>
      </c>
      <c r="BI40" s="43">
        <v>300</v>
      </c>
      <c r="BJ40" s="43">
        <v>100</v>
      </c>
      <c r="BK40" s="43"/>
      <c r="BL40" s="43">
        <f t="shared" si="1"/>
        <v>4466.5499999999993</v>
      </c>
      <c r="BM40" s="43">
        <f t="shared" si="1"/>
        <v>4114.67</v>
      </c>
      <c r="BN40" s="43">
        <f t="shared" si="15"/>
        <v>8581.2199999999993</v>
      </c>
      <c r="BO40" s="43">
        <v>4255.45</v>
      </c>
      <c r="BP40" s="93">
        <v>4014.28</v>
      </c>
      <c r="BQ40" s="43">
        <f t="shared" si="16"/>
        <v>211.09999999999945</v>
      </c>
      <c r="BR40" s="43">
        <f t="shared" si="16"/>
        <v>100.38999999999987</v>
      </c>
      <c r="BS40" s="43">
        <f t="shared" si="17"/>
        <v>386.86</v>
      </c>
      <c r="BT40" s="43">
        <f t="shared" si="17"/>
        <v>364.93</v>
      </c>
      <c r="BU40" s="43">
        <v>175.76</v>
      </c>
      <c r="BV40" s="43">
        <f t="shared" si="99"/>
        <v>264.54000000000002</v>
      </c>
      <c r="BW40" s="43">
        <v>180</v>
      </c>
      <c r="BX40" s="43">
        <v>50</v>
      </c>
      <c r="BY40" s="43"/>
      <c r="BZ40" s="43"/>
      <c r="CA40" s="43">
        <v>4822.3099999999995</v>
      </c>
      <c r="CB40" s="43">
        <v>4429.21</v>
      </c>
      <c r="CC40" s="92">
        <v>5304.54</v>
      </c>
      <c r="CD40" s="92">
        <v>5093.59</v>
      </c>
      <c r="CE40" s="92">
        <v>442</v>
      </c>
      <c r="CF40" s="92">
        <v>424</v>
      </c>
      <c r="CG40" s="92">
        <f t="shared" si="19"/>
        <v>1205.58</v>
      </c>
      <c r="CH40" s="92">
        <f t="shared" si="19"/>
        <v>1107.3</v>
      </c>
      <c r="CI40" s="43"/>
      <c r="CJ40" s="43"/>
      <c r="CK40" s="43">
        <v>1250</v>
      </c>
      <c r="CL40" s="43">
        <v>1200</v>
      </c>
      <c r="CM40" s="43"/>
      <c r="CN40" s="43"/>
      <c r="CO40" s="43">
        <v>5300</v>
      </c>
      <c r="CP40" s="43">
        <v>4900</v>
      </c>
      <c r="CQ40" s="43">
        <f t="shared" si="20"/>
        <v>5000</v>
      </c>
      <c r="CR40" s="43">
        <f t="shared" si="20"/>
        <v>4800</v>
      </c>
      <c r="CS40" s="43">
        <f t="shared" si="21"/>
        <v>5000</v>
      </c>
      <c r="CT40" s="43">
        <f t="shared" si="21"/>
        <v>4800</v>
      </c>
      <c r="CU40" s="43">
        <v>5000</v>
      </c>
      <c r="CV40" s="43">
        <v>4800</v>
      </c>
      <c r="CW40" s="43">
        <f t="shared" si="22"/>
        <v>1250</v>
      </c>
      <c r="CX40" s="43">
        <f t="shared" si="22"/>
        <v>1200</v>
      </c>
      <c r="CY40" s="43"/>
      <c r="CZ40" s="43"/>
      <c r="DA40" s="43">
        <f t="shared" si="23"/>
        <v>2942</v>
      </c>
      <c r="DB40" s="43">
        <f t="shared" si="23"/>
        <v>2824</v>
      </c>
      <c r="DC40" s="43">
        <v>2757.13</v>
      </c>
      <c r="DD40" s="43">
        <v>2710.65</v>
      </c>
      <c r="DE40" s="43">
        <f t="shared" si="24"/>
        <v>184.86999999999989</v>
      </c>
      <c r="DF40" s="43">
        <f t="shared" si="24"/>
        <v>113.34999999999991</v>
      </c>
      <c r="DG40" s="43">
        <f t="shared" ref="DG40:DH42" si="109">ROUND(0.25*(MIN(CU40,EW40)),2)</f>
        <v>1250</v>
      </c>
      <c r="DH40" s="43">
        <f t="shared" si="109"/>
        <v>1200</v>
      </c>
      <c r="DI40" s="43">
        <f t="shared" ref="DI40:DI42" si="110">+DG40-DE40</f>
        <v>1065.1300000000001</v>
      </c>
      <c r="DJ40" s="43">
        <f>+DH40-DF40</f>
        <v>1086.6500000000001</v>
      </c>
      <c r="DK40" s="43">
        <v>50</v>
      </c>
      <c r="DL40" s="43">
        <v>100</v>
      </c>
      <c r="DM40" s="43">
        <f t="shared" si="25"/>
        <v>4057.13</v>
      </c>
      <c r="DN40" s="43">
        <f t="shared" si="25"/>
        <v>4010.65</v>
      </c>
      <c r="DO40" s="94">
        <v>4035.82</v>
      </c>
      <c r="DP40" s="95">
        <v>4010.65</v>
      </c>
      <c r="DQ40" s="60">
        <f t="shared" si="26"/>
        <v>21.31</v>
      </c>
      <c r="DR40" s="60">
        <f t="shared" si="26"/>
        <v>0</v>
      </c>
      <c r="DS40" s="60">
        <f t="shared" si="27"/>
        <v>403.58199999999999</v>
      </c>
      <c r="DT40" s="60">
        <f t="shared" si="27"/>
        <v>401.065</v>
      </c>
      <c r="DU40" s="60">
        <f t="shared" si="28"/>
        <v>382.27199999999999</v>
      </c>
      <c r="DV40" s="60">
        <f t="shared" si="28"/>
        <v>401.065</v>
      </c>
      <c r="DW40" s="60"/>
      <c r="DX40" s="60">
        <v>150</v>
      </c>
      <c r="DY40" s="60">
        <f t="shared" si="29"/>
        <v>382.27</v>
      </c>
      <c r="DZ40" s="60">
        <f t="shared" si="29"/>
        <v>551.07000000000005</v>
      </c>
      <c r="EA40" s="60"/>
      <c r="EB40" s="60"/>
      <c r="EC40" s="43">
        <f t="shared" si="30"/>
        <v>4439.3999999999996</v>
      </c>
      <c r="ED40" s="43">
        <f t="shared" si="30"/>
        <v>4561.72</v>
      </c>
      <c r="EE40" s="43">
        <v>4439.3999999999996</v>
      </c>
      <c r="EF40" s="43">
        <v>4398.88</v>
      </c>
      <c r="EG40" s="43">
        <f t="shared" si="66"/>
        <v>100</v>
      </c>
      <c r="EH40" s="43">
        <f t="shared" si="66"/>
        <v>96.43</v>
      </c>
      <c r="EI40" s="43">
        <f t="shared" si="32"/>
        <v>0</v>
      </c>
      <c r="EJ40" s="43">
        <f t="shared" si="32"/>
        <v>162.84</v>
      </c>
      <c r="EK40" s="43">
        <f t="shared" si="33"/>
        <v>403.58</v>
      </c>
      <c r="EL40" s="43">
        <f t="shared" si="33"/>
        <v>399.9</v>
      </c>
      <c r="EM40" s="43">
        <f t="shared" si="34"/>
        <v>403.58</v>
      </c>
      <c r="EN40" s="43">
        <f t="shared" si="34"/>
        <v>237.05999999999997</v>
      </c>
      <c r="EO40" s="43">
        <v>385</v>
      </c>
      <c r="EP40" s="43">
        <v>400</v>
      </c>
      <c r="EQ40" s="5"/>
      <c r="ER40" s="5"/>
      <c r="ES40" s="5"/>
      <c r="ET40" s="5"/>
      <c r="EU40" s="5">
        <f t="shared" si="88"/>
        <v>225.60000000000036</v>
      </c>
      <c r="EV40" s="5">
        <f t="shared" si="88"/>
        <v>-161.72000000000025</v>
      </c>
      <c r="EW40" s="5">
        <v>5050</v>
      </c>
      <c r="EX40" s="5">
        <v>4800</v>
      </c>
      <c r="EY40" s="5">
        <v>5100</v>
      </c>
      <c r="EZ40" s="5">
        <v>4800</v>
      </c>
    </row>
    <row r="41" spans="1:159" ht="18.75" x14ac:dyDescent="0.25">
      <c r="A41" s="37">
        <v>28</v>
      </c>
      <c r="B41" s="37"/>
      <c r="C41" s="91" t="s">
        <v>122</v>
      </c>
      <c r="D41" s="38" t="s">
        <v>155</v>
      </c>
      <c r="E41" s="39"/>
      <c r="F41" s="40">
        <v>234.16</v>
      </c>
      <c r="G41" s="40">
        <v>0</v>
      </c>
      <c r="H41" s="40">
        <v>234.16</v>
      </c>
      <c r="I41" s="40">
        <v>0</v>
      </c>
      <c r="J41" s="41">
        <v>550</v>
      </c>
      <c r="K41" s="41">
        <v>0</v>
      </c>
      <c r="L41" s="41">
        <v>0</v>
      </c>
      <c r="M41" s="41">
        <f t="shared" si="104"/>
        <v>550</v>
      </c>
      <c r="N41" s="41">
        <v>0</v>
      </c>
      <c r="O41" s="41">
        <v>0</v>
      </c>
      <c r="P41" s="41">
        <v>0</v>
      </c>
      <c r="Q41" s="41">
        <f t="shared" si="105"/>
        <v>0</v>
      </c>
      <c r="R41" s="41">
        <f t="shared" si="106"/>
        <v>550</v>
      </c>
      <c r="S41" s="41">
        <v>0</v>
      </c>
      <c r="T41" s="92"/>
      <c r="U41" s="92"/>
      <c r="V41" s="40">
        <f t="shared" si="107"/>
        <v>247.81</v>
      </c>
      <c r="W41" s="40">
        <f t="shared" si="108"/>
        <v>0</v>
      </c>
      <c r="X41" s="43">
        <f t="shared" si="2"/>
        <v>302.19</v>
      </c>
      <c r="Y41" s="43">
        <f t="shared" si="2"/>
        <v>0</v>
      </c>
      <c r="Z41" s="43">
        <v>247.81</v>
      </c>
      <c r="AA41" s="43"/>
      <c r="AB41" s="43">
        <f t="shared" si="3"/>
        <v>247.81</v>
      </c>
      <c r="AC41" s="43">
        <f t="shared" si="4"/>
        <v>0</v>
      </c>
      <c r="AD41" s="43">
        <f t="shared" ref="AD41:AE42" si="111">IF(X41&gt;0,V41,R41)</f>
        <v>247.81</v>
      </c>
      <c r="AE41" s="43">
        <f t="shared" si="111"/>
        <v>0</v>
      </c>
      <c r="AF41" s="43">
        <f t="shared" si="5"/>
        <v>0</v>
      </c>
      <c r="AG41" s="43">
        <f t="shared" si="6"/>
        <v>62</v>
      </c>
      <c r="AH41" s="43">
        <f t="shared" si="6"/>
        <v>0</v>
      </c>
      <c r="AI41" s="93">
        <f t="shared" si="7"/>
        <v>21</v>
      </c>
      <c r="AJ41" s="43">
        <f t="shared" si="7"/>
        <v>0</v>
      </c>
      <c r="AK41" s="43"/>
      <c r="AL41" s="43"/>
      <c r="AM41" s="43">
        <f t="shared" si="8"/>
        <v>61.95</v>
      </c>
      <c r="AN41" s="43">
        <f t="shared" si="9"/>
        <v>0</v>
      </c>
      <c r="AO41" s="43"/>
      <c r="AP41" s="43"/>
      <c r="AQ41" s="43">
        <f t="shared" si="10"/>
        <v>123.95</v>
      </c>
      <c r="AR41" s="43">
        <f t="shared" si="10"/>
        <v>0</v>
      </c>
      <c r="AS41" s="43"/>
      <c r="AT41" s="43"/>
      <c r="AU41" s="43">
        <f t="shared" si="0"/>
        <v>61.95</v>
      </c>
      <c r="AV41" s="43">
        <f t="shared" si="0"/>
        <v>0</v>
      </c>
      <c r="AW41" s="43"/>
      <c r="AX41" s="43"/>
      <c r="AY41" s="43">
        <f t="shared" si="11"/>
        <v>206.9</v>
      </c>
      <c r="AZ41" s="43">
        <f t="shared" si="11"/>
        <v>0</v>
      </c>
      <c r="BA41" s="43">
        <f t="shared" si="12"/>
        <v>206.9</v>
      </c>
      <c r="BB41" s="60">
        <v>206.9</v>
      </c>
      <c r="BC41" s="60"/>
      <c r="BD41" s="60">
        <f t="shared" si="13"/>
        <v>0</v>
      </c>
      <c r="BE41" s="60">
        <f t="shared" si="13"/>
        <v>0</v>
      </c>
      <c r="BF41" s="60">
        <f t="shared" si="14"/>
        <v>41.38</v>
      </c>
      <c r="BG41" s="60">
        <f t="shared" si="14"/>
        <v>0</v>
      </c>
      <c r="BH41" s="43">
        <v>20.69</v>
      </c>
      <c r="BI41" s="43">
        <v>0</v>
      </c>
      <c r="BJ41" s="43"/>
      <c r="BK41" s="43"/>
      <c r="BL41" s="43">
        <f t="shared" si="1"/>
        <v>227.59</v>
      </c>
      <c r="BM41" s="43">
        <f t="shared" si="1"/>
        <v>0</v>
      </c>
      <c r="BN41" s="43">
        <f t="shared" si="15"/>
        <v>227.59</v>
      </c>
      <c r="BO41" s="43">
        <v>206.9</v>
      </c>
      <c r="BP41" s="93"/>
      <c r="BQ41" s="43">
        <f t="shared" si="16"/>
        <v>20.689999999999998</v>
      </c>
      <c r="BR41" s="43">
        <f t="shared" si="16"/>
        <v>0</v>
      </c>
      <c r="BS41" s="43">
        <f t="shared" si="17"/>
        <v>18.809999999999999</v>
      </c>
      <c r="BT41" s="43">
        <f t="shared" si="17"/>
        <v>0</v>
      </c>
      <c r="BU41" s="43">
        <f t="shared" si="40"/>
        <v>-1.879999999999999</v>
      </c>
      <c r="BV41" s="43">
        <f t="shared" si="99"/>
        <v>0</v>
      </c>
      <c r="BW41" s="43"/>
      <c r="BX41" s="43"/>
      <c r="BY41" s="43"/>
      <c r="BZ41" s="43"/>
      <c r="CA41" s="43">
        <v>225.71</v>
      </c>
      <c r="CB41" s="43">
        <v>0</v>
      </c>
      <c r="CC41" s="92">
        <v>248.28</v>
      </c>
      <c r="CD41" s="92">
        <v>0</v>
      </c>
      <c r="CE41" s="92">
        <v>21</v>
      </c>
      <c r="CF41" s="92">
        <v>0</v>
      </c>
      <c r="CG41" s="92">
        <f t="shared" si="19"/>
        <v>56.43</v>
      </c>
      <c r="CH41" s="92">
        <f t="shared" si="19"/>
        <v>0</v>
      </c>
      <c r="CI41" s="43"/>
      <c r="CJ41" s="43"/>
      <c r="CK41" s="72">
        <f>90-25</f>
        <v>65</v>
      </c>
      <c r="CL41" s="43">
        <v>0</v>
      </c>
      <c r="CM41" s="43"/>
      <c r="CN41" s="43"/>
      <c r="CO41" s="43">
        <v>363</v>
      </c>
      <c r="CP41" s="43"/>
      <c r="CQ41" s="43">
        <f t="shared" si="20"/>
        <v>260</v>
      </c>
      <c r="CR41" s="43">
        <f t="shared" si="20"/>
        <v>0</v>
      </c>
      <c r="CS41" s="43">
        <f t="shared" si="21"/>
        <v>260</v>
      </c>
      <c r="CT41" s="43">
        <f t="shared" si="21"/>
        <v>0</v>
      </c>
      <c r="CU41" s="43">
        <v>260</v>
      </c>
      <c r="CV41" s="43">
        <v>0</v>
      </c>
      <c r="CW41" s="43">
        <f t="shared" si="22"/>
        <v>65</v>
      </c>
      <c r="CX41" s="43">
        <f t="shared" si="22"/>
        <v>0</v>
      </c>
      <c r="CY41" s="43"/>
      <c r="CZ41" s="43"/>
      <c r="DA41" s="43">
        <f t="shared" si="23"/>
        <v>151</v>
      </c>
      <c r="DB41" s="43">
        <f t="shared" si="23"/>
        <v>0</v>
      </c>
      <c r="DC41" s="43">
        <v>151</v>
      </c>
      <c r="DD41" s="43"/>
      <c r="DE41" s="43">
        <f t="shared" si="24"/>
        <v>0</v>
      </c>
      <c r="DF41" s="43">
        <f t="shared" si="24"/>
        <v>0</v>
      </c>
      <c r="DG41" s="43">
        <f t="shared" si="109"/>
        <v>65</v>
      </c>
      <c r="DH41" s="43">
        <f t="shared" si="109"/>
        <v>0</v>
      </c>
      <c r="DI41" s="43">
        <f t="shared" si="110"/>
        <v>65</v>
      </c>
      <c r="DJ41" s="43">
        <f>+DH41-DF41</f>
        <v>0</v>
      </c>
      <c r="DK41" s="43"/>
      <c r="DL41" s="43"/>
      <c r="DM41" s="43">
        <f t="shared" si="25"/>
        <v>216</v>
      </c>
      <c r="DN41" s="43">
        <f t="shared" si="25"/>
        <v>0</v>
      </c>
      <c r="DO41" s="94">
        <v>216</v>
      </c>
      <c r="DP41" s="95">
        <v>0</v>
      </c>
      <c r="DQ41" s="60">
        <f t="shared" si="26"/>
        <v>0</v>
      </c>
      <c r="DR41" s="60">
        <f t="shared" si="26"/>
        <v>0</v>
      </c>
      <c r="DS41" s="60">
        <f t="shared" si="27"/>
        <v>21.6</v>
      </c>
      <c r="DT41" s="60">
        <f t="shared" si="27"/>
        <v>0</v>
      </c>
      <c r="DU41" s="60">
        <f t="shared" si="28"/>
        <v>21.6</v>
      </c>
      <c r="DV41" s="60">
        <f t="shared" si="28"/>
        <v>0</v>
      </c>
      <c r="DW41" s="60"/>
      <c r="DX41" s="60"/>
      <c r="DY41" s="60">
        <f t="shared" si="29"/>
        <v>21.6</v>
      </c>
      <c r="DZ41" s="60">
        <f t="shared" si="29"/>
        <v>0</v>
      </c>
      <c r="EA41" s="60"/>
      <c r="EB41" s="60"/>
      <c r="EC41" s="43">
        <f t="shared" si="30"/>
        <v>237.6</v>
      </c>
      <c r="ED41" s="43">
        <f t="shared" si="30"/>
        <v>0</v>
      </c>
      <c r="EE41" s="43">
        <v>216</v>
      </c>
      <c r="EF41" s="43"/>
      <c r="EG41" s="43">
        <f t="shared" si="66"/>
        <v>90.91</v>
      </c>
      <c r="EH41" s="43" t="e">
        <f t="shared" si="66"/>
        <v>#DIV/0!</v>
      </c>
      <c r="EI41" s="43">
        <f t="shared" si="32"/>
        <v>21.6</v>
      </c>
      <c r="EJ41" s="43">
        <f t="shared" si="32"/>
        <v>0</v>
      </c>
      <c r="EK41" s="43">
        <f t="shared" si="33"/>
        <v>19.64</v>
      </c>
      <c r="EL41" s="43">
        <f t="shared" si="33"/>
        <v>0</v>
      </c>
      <c r="EM41" s="43">
        <f t="shared" si="34"/>
        <v>-1.9600000000000009</v>
      </c>
      <c r="EN41" s="43">
        <f t="shared" si="34"/>
        <v>0</v>
      </c>
      <c r="EO41" s="43">
        <v>0</v>
      </c>
      <c r="EP41" s="43">
        <v>0</v>
      </c>
      <c r="EQ41" s="5"/>
      <c r="ER41" s="5"/>
      <c r="ES41" s="5"/>
      <c r="ET41" s="5"/>
      <c r="EU41" s="5">
        <f t="shared" si="88"/>
        <v>22.400000000000006</v>
      </c>
      <c r="EV41" s="5">
        <f t="shared" si="88"/>
        <v>0</v>
      </c>
      <c r="EW41" s="5">
        <v>260</v>
      </c>
      <c r="EX41" s="5">
        <v>0</v>
      </c>
      <c r="EY41" s="5">
        <v>616</v>
      </c>
      <c r="EZ41" s="5">
        <v>0</v>
      </c>
    </row>
    <row r="42" spans="1:159" ht="18.75" x14ac:dyDescent="0.25">
      <c r="A42" s="37">
        <v>29</v>
      </c>
      <c r="B42" s="37"/>
      <c r="C42" s="91" t="s">
        <v>122</v>
      </c>
      <c r="D42" s="38" t="s">
        <v>156</v>
      </c>
      <c r="E42" s="39"/>
      <c r="F42" s="40">
        <v>0</v>
      </c>
      <c r="G42" s="40">
        <v>0</v>
      </c>
      <c r="H42" s="40">
        <v>0</v>
      </c>
      <c r="I42" s="40">
        <v>0</v>
      </c>
      <c r="J42" s="41">
        <v>0</v>
      </c>
      <c r="K42" s="41">
        <v>0</v>
      </c>
      <c r="L42" s="41">
        <v>0</v>
      </c>
      <c r="M42" s="41">
        <f t="shared" si="104"/>
        <v>0</v>
      </c>
      <c r="N42" s="41">
        <v>0</v>
      </c>
      <c r="O42" s="41">
        <v>0</v>
      </c>
      <c r="P42" s="41">
        <v>0</v>
      </c>
      <c r="Q42" s="41">
        <f t="shared" si="105"/>
        <v>0</v>
      </c>
      <c r="R42" s="41">
        <f t="shared" si="106"/>
        <v>0</v>
      </c>
      <c r="S42" s="41">
        <v>0</v>
      </c>
      <c r="T42" s="92"/>
      <c r="U42" s="92"/>
      <c r="V42" s="40">
        <f t="shared" si="107"/>
        <v>0</v>
      </c>
      <c r="W42" s="40">
        <f t="shared" si="108"/>
        <v>0</v>
      </c>
      <c r="X42" s="43">
        <f t="shared" si="2"/>
        <v>0</v>
      </c>
      <c r="Y42" s="43">
        <f t="shared" si="2"/>
        <v>0</v>
      </c>
      <c r="Z42" s="43">
        <v>0</v>
      </c>
      <c r="AA42" s="43"/>
      <c r="AB42" s="43">
        <f t="shared" si="3"/>
        <v>0</v>
      </c>
      <c r="AC42" s="43">
        <f t="shared" si="4"/>
        <v>0</v>
      </c>
      <c r="AD42" s="43">
        <f t="shared" si="111"/>
        <v>0</v>
      </c>
      <c r="AE42" s="43">
        <f t="shared" si="111"/>
        <v>0</v>
      </c>
      <c r="AF42" s="43">
        <f t="shared" si="5"/>
        <v>0</v>
      </c>
      <c r="AG42" s="43">
        <f t="shared" si="6"/>
        <v>0</v>
      </c>
      <c r="AH42" s="43">
        <f t="shared" si="6"/>
        <v>0</v>
      </c>
      <c r="AI42" s="93">
        <f t="shared" si="7"/>
        <v>0</v>
      </c>
      <c r="AJ42" s="43">
        <f t="shared" si="7"/>
        <v>0</v>
      </c>
      <c r="AK42" s="43"/>
      <c r="AL42" s="43"/>
      <c r="AM42" s="43">
        <f t="shared" si="8"/>
        <v>0</v>
      </c>
      <c r="AN42" s="43">
        <f t="shared" si="9"/>
        <v>0</v>
      </c>
      <c r="AO42" s="43"/>
      <c r="AP42" s="43"/>
      <c r="AQ42" s="43">
        <f t="shared" si="10"/>
        <v>0</v>
      </c>
      <c r="AR42" s="43">
        <f t="shared" si="10"/>
        <v>0</v>
      </c>
      <c r="AS42" s="43"/>
      <c r="AT42" s="43"/>
      <c r="AU42" s="43">
        <f t="shared" si="0"/>
        <v>0</v>
      </c>
      <c r="AV42" s="43">
        <f t="shared" si="0"/>
        <v>0</v>
      </c>
      <c r="AW42" s="43"/>
      <c r="AX42" s="43"/>
      <c r="AY42" s="43">
        <f t="shared" si="11"/>
        <v>0</v>
      </c>
      <c r="AZ42" s="43">
        <f t="shared" si="11"/>
        <v>0</v>
      </c>
      <c r="BA42" s="43">
        <f t="shared" si="12"/>
        <v>0</v>
      </c>
      <c r="BB42" s="60">
        <v>0</v>
      </c>
      <c r="BC42" s="60"/>
      <c r="BD42" s="60">
        <f t="shared" si="13"/>
        <v>0</v>
      </c>
      <c r="BE42" s="60">
        <f t="shared" si="13"/>
        <v>0</v>
      </c>
      <c r="BF42" s="60">
        <f t="shared" si="14"/>
        <v>0</v>
      </c>
      <c r="BG42" s="60">
        <f t="shared" si="14"/>
        <v>0</v>
      </c>
      <c r="BH42" s="43">
        <v>0</v>
      </c>
      <c r="BI42" s="43">
        <v>0</v>
      </c>
      <c r="BJ42" s="43"/>
      <c r="BK42" s="43"/>
      <c r="BL42" s="43">
        <f t="shared" si="1"/>
        <v>0</v>
      </c>
      <c r="BM42" s="43">
        <f t="shared" si="1"/>
        <v>0</v>
      </c>
      <c r="BN42" s="43">
        <f t="shared" si="15"/>
        <v>0</v>
      </c>
      <c r="BO42" s="43"/>
      <c r="BP42" s="93"/>
      <c r="BQ42" s="43">
        <f t="shared" si="16"/>
        <v>0</v>
      </c>
      <c r="BR42" s="43">
        <f t="shared" si="16"/>
        <v>0</v>
      </c>
      <c r="BS42" s="43">
        <f t="shared" si="17"/>
        <v>0</v>
      </c>
      <c r="BT42" s="43">
        <f t="shared" si="17"/>
        <v>0</v>
      </c>
      <c r="BU42" s="43">
        <f t="shared" si="40"/>
        <v>0</v>
      </c>
      <c r="BV42" s="43">
        <f t="shared" si="99"/>
        <v>0</v>
      </c>
      <c r="BW42" s="43"/>
      <c r="BX42" s="43"/>
      <c r="BY42" s="43"/>
      <c r="BZ42" s="43"/>
      <c r="CA42" s="43">
        <v>0</v>
      </c>
      <c r="CB42" s="43">
        <v>0</v>
      </c>
      <c r="CC42" s="92">
        <v>0</v>
      </c>
      <c r="CD42" s="92">
        <v>0</v>
      </c>
      <c r="CE42" s="92">
        <v>0</v>
      </c>
      <c r="CF42" s="92">
        <v>0</v>
      </c>
      <c r="CG42" s="92">
        <f t="shared" si="19"/>
        <v>0</v>
      </c>
      <c r="CH42" s="92">
        <f t="shared" si="19"/>
        <v>0</v>
      </c>
      <c r="CI42" s="43"/>
      <c r="CJ42" s="43"/>
      <c r="CK42" s="43">
        <v>0</v>
      </c>
      <c r="CL42" s="43">
        <v>0</v>
      </c>
      <c r="CM42" s="43"/>
      <c r="CN42" s="43"/>
      <c r="CO42" s="43">
        <v>0</v>
      </c>
      <c r="CP42" s="43">
        <v>0</v>
      </c>
      <c r="CQ42" s="43">
        <f t="shared" si="20"/>
        <v>0</v>
      </c>
      <c r="CR42" s="43">
        <f t="shared" si="20"/>
        <v>0</v>
      </c>
      <c r="CS42" s="43">
        <f t="shared" si="21"/>
        <v>0</v>
      </c>
      <c r="CT42" s="43">
        <f t="shared" si="21"/>
        <v>0</v>
      </c>
      <c r="CU42" s="43">
        <v>0</v>
      </c>
      <c r="CV42" s="43">
        <v>0</v>
      </c>
      <c r="CW42" s="43">
        <f t="shared" si="22"/>
        <v>0</v>
      </c>
      <c r="CX42" s="43">
        <f t="shared" si="22"/>
        <v>0</v>
      </c>
      <c r="CY42" s="43"/>
      <c r="CZ42" s="43"/>
      <c r="DA42" s="43">
        <f t="shared" si="23"/>
        <v>0</v>
      </c>
      <c r="DB42" s="43">
        <f t="shared" si="23"/>
        <v>0</v>
      </c>
      <c r="DC42" s="43"/>
      <c r="DD42" s="43"/>
      <c r="DE42" s="43">
        <f t="shared" si="24"/>
        <v>0</v>
      </c>
      <c r="DF42" s="43">
        <f t="shared" si="24"/>
        <v>0</v>
      </c>
      <c r="DG42" s="43">
        <f t="shared" si="109"/>
        <v>0</v>
      </c>
      <c r="DH42" s="43">
        <f t="shared" si="109"/>
        <v>0</v>
      </c>
      <c r="DI42" s="43">
        <f t="shared" si="110"/>
        <v>0</v>
      </c>
      <c r="DJ42" s="43">
        <f>+DH42-DF42</f>
        <v>0</v>
      </c>
      <c r="DK42" s="43"/>
      <c r="DL42" s="43"/>
      <c r="DM42" s="43">
        <f t="shared" si="25"/>
        <v>0</v>
      </c>
      <c r="DN42" s="43">
        <f t="shared" si="25"/>
        <v>0</v>
      </c>
      <c r="DO42" s="94">
        <v>0</v>
      </c>
      <c r="DP42" s="95">
        <v>0</v>
      </c>
      <c r="DQ42" s="60">
        <f t="shared" si="26"/>
        <v>0</v>
      </c>
      <c r="DR42" s="60">
        <f t="shared" si="26"/>
        <v>0</v>
      </c>
      <c r="DS42" s="60">
        <f t="shared" si="27"/>
        <v>0</v>
      </c>
      <c r="DT42" s="60">
        <f t="shared" si="27"/>
        <v>0</v>
      </c>
      <c r="DU42" s="60">
        <f t="shared" si="28"/>
        <v>0</v>
      </c>
      <c r="DV42" s="60">
        <f t="shared" si="28"/>
        <v>0</v>
      </c>
      <c r="DW42" s="60"/>
      <c r="DX42" s="60"/>
      <c r="DY42" s="60">
        <f t="shared" si="29"/>
        <v>0</v>
      </c>
      <c r="DZ42" s="60">
        <f t="shared" si="29"/>
        <v>0</v>
      </c>
      <c r="EA42" s="60"/>
      <c r="EB42" s="60"/>
      <c r="EC42" s="43">
        <f t="shared" si="30"/>
        <v>0</v>
      </c>
      <c r="ED42" s="43">
        <f t="shared" si="30"/>
        <v>0</v>
      </c>
      <c r="EE42" s="43"/>
      <c r="EF42" s="43"/>
      <c r="EG42" s="43" t="e">
        <f t="shared" si="66"/>
        <v>#DIV/0!</v>
      </c>
      <c r="EH42" s="43" t="e">
        <f t="shared" si="66"/>
        <v>#DIV/0!</v>
      </c>
      <c r="EI42" s="43">
        <f t="shared" si="32"/>
        <v>0</v>
      </c>
      <c r="EJ42" s="43">
        <f t="shared" si="32"/>
        <v>0</v>
      </c>
      <c r="EK42" s="43">
        <f t="shared" si="33"/>
        <v>0</v>
      </c>
      <c r="EL42" s="43">
        <f t="shared" si="33"/>
        <v>0</v>
      </c>
      <c r="EM42" s="43">
        <f t="shared" si="34"/>
        <v>0</v>
      </c>
      <c r="EN42" s="43">
        <f t="shared" si="34"/>
        <v>0</v>
      </c>
      <c r="EO42" s="43">
        <v>0</v>
      </c>
      <c r="EP42" s="43">
        <v>0</v>
      </c>
      <c r="EQ42" s="5"/>
      <c r="ER42" s="5"/>
      <c r="ES42" s="5"/>
      <c r="ET42" s="5"/>
      <c r="EU42" s="5">
        <f t="shared" si="88"/>
        <v>0</v>
      </c>
      <c r="EV42" s="5">
        <f t="shared" si="88"/>
        <v>0</v>
      </c>
      <c r="EW42" s="5">
        <v>0</v>
      </c>
      <c r="EX42" s="5">
        <v>0</v>
      </c>
      <c r="EY42" s="5">
        <v>0</v>
      </c>
      <c r="EZ42" s="5">
        <v>0</v>
      </c>
    </row>
    <row r="43" spans="1:159" ht="18.75" x14ac:dyDescent="0.25">
      <c r="A43" s="68"/>
      <c r="B43" s="68" t="s">
        <v>157</v>
      </c>
      <c r="C43" s="91" t="s">
        <v>122</v>
      </c>
      <c r="D43" s="67" t="s">
        <v>154</v>
      </c>
      <c r="E43" s="69" t="s">
        <v>158</v>
      </c>
      <c r="F43" s="70">
        <v>4899.78</v>
      </c>
      <c r="G43" s="70">
        <v>3823.63</v>
      </c>
      <c r="H43" s="70">
        <v>4899.78</v>
      </c>
      <c r="I43" s="70">
        <v>3823.63</v>
      </c>
      <c r="J43" s="71">
        <f t="shared" ref="J43:AA43" si="112">+J40+J41+J42</f>
        <v>5750</v>
      </c>
      <c r="K43" s="71">
        <f t="shared" si="112"/>
        <v>35</v>
      </c>
      <c r="L43" s="71">
        <f t="shared" si="112"/>
        <v>0</v>
      </c>
      <c r="M43" s="71">
        <f t="shared" si="112"/>
        <v>5785</v>
      </c>
      <c r="N43" s="71">
        <f t="shared" si="112"/>
        <v>0</v>
      </c>
      <c r="O43" s="71">
        <f t="shared" si="112"/>
        <v>0</v>
      </c>
      <c r="P43" s="71">
        <f t="shared" si="112"/>
        <v>0</v>
      </c>
      <c r="Q43" s="71">
        <f t="shared" si="112"/>
        <v>0</v>
      </c>
      <c r="R43" s="71">
        <f t="shared" si="112"/>
        <v>5785</v>
      </c>
      <c r="S43" s="71">
        <f t="shared" si="112"/>
        <v>4800</v>
      </c>
      <c r="T43" s="71">
        <f t="shared" si="112"/>
        <v>0</v>
      </c>
      <c r="U43" s="71">
        <f t="shared" si="112"/>
        <v>0</v>
      </c>
      <c r="V43" s="71">
        <f t="shared" si="112"/>
        <v>5185.4400000000005</v>
      </c>
      <c r="W43" s="71">
        <f t="shared" si="112"/>
        <v>3948.66</v>
      </c>
      <c r="X43" s="71">
        <f t="shared" si="112"/>
        <v>599.55999999999995</v>
      </c>
      <c r="Y43" s="71">
        <f t="shared" si="112"/>
        <v>851.34000000000015</v>
      </c>
      <c r="Z43" s="71">
        <f t="shared" si="112"/>
        <v>5185.4400000000005</v>
      </c>
      <c r="AA43" s="71">
        <f t="shared" si="112"/>
        <v>0</v>
      </c>
      <c r="AB43" s="70">
        <f t="shared" si="3"/>
        <v>5185.4400000000005</v>
      </c>
      <c r="AC43" s="43">
        <f t="shared" si="4"/>
        <v>0</v>
      </c>
      <c r="AD43" s="70">
        <f t="shared" ref="AD43:CO43" si="113">+AD40+AD41+AD42</f>
        <v>5185.4400000000005</v>
      </c>
      <c r="AE43" s="70">
        <f t="shared" si="113"/>
        <v>3948.66</v>
      </c>
      <c r="AF43" s="70">
        <f t="shared" si="113"/>
        <v>4330.5600000000004</v>
      </c>
      <c r="AG43" s="70">
        <f t="shared" si="113"/>
        <v>1296</v>
      </c>
      <c r="AH43" s="70">
        <f t="shared" si="113"/>
        <v>987</v>
      </c>
      <c r="AI43" s="96">
        <f t="shared" si="113"/>
        <v>432</v>
      </c>
      <c r="AJ43" s="70">
        <f t="shared" si="113"/>
        <v>329</v>
      </c>
      <c r="AK43" s="70">
        <f t="shared" si="113"/>
        <v>0</v>
      </c>
      <c r="AL43" s="70">
        <f t="shared" si="113"/>
        <v>0</v>
      </c>
      <c r="AM43" s="70">
        <f t="shared" si="113"/>
        <v>1296.3600000000001</v>
      </c>
      <c r="AN43" s="70">
        <f t="shared" si="113"/>
        <v>961.5</v>
      </c>
      <c r="AO43" s="70">
        <f t="shared" si="113"/>
        <v>0</v>
      </c>
      <c r="AP43" s="70">
        <f t="shared" si="113"/>
        <v>0</v>
      </c>
      <c r="AQ43" s="70">
        <f t="shared" si="113"/>
        <v>2592.3599999999997</v>
      </c>
      <c r="AR43" s="70">
        <f t="shared" si="113"/>
        <v>1948.5</v>
      </c>
      <c r="AS43" s="70">
        <f t="shared" si="113"/>
        <v>0</v>
      </c>
      <c r="AT43" s="70">
        <f t="shared" si="113"/>
        <v>0</v>
      </c>
      <c r="AU43" s="70">
        <f t="shared" si="113"/>
        <v>1296.3600000000001</v>
      </c>
      <c r="AV43" s="70">
        <f t="shared" si="113"/>
        <v>987.17</v>
      </c>
      <c r="AW43" s="70">
        <f t="shared" si="113"/>
        <v>0</v>
      </c>
      <c r="AX43" s="70">
        <f t="shared" si="113"/>
        <v>550</v>
      </c>
      <c r="AY43" s="70">
        <f t="shared" si="113"/>
        <v>4320.7199999999993</v>
      </c>
      <c r="AZ43" s="70">
        <f t="shared" si="113"/>
        <v>3814.67</v>
      </c>
      <c r="BA43" s="70">
        <f t="shared" si="113"/>
        <v>8135.3899999999994</v>
      </c>
      <c r="BB43" s="70">
        <f t="shared" si="113"/>
        <v>4056.3</v>
      </c>
      <c r="BC43" s="70">
        <f t="shared" si="113"/>
        <v>3729.28</v>
      </c>
      <c r="BD43" s="70">
        <f t="shared" si="113"/>
        <v>264.41999999999962</v>
      </c>
      <c r="BE43" s="70">
        <f t="shared" si="113"/>
        <v>85.389999999999873</v>
      </c>
      <c r="BF43" s="70">
        <f t="shared" si="113"/>
        <v>811.26</v>
      </c>
      <c r="BG43" s="96">
        <f t="shared" si="113"/>
        <v>745.86</v>
      </c>
      <c r="BH43" s="96">
        <f t="shared" si="113"/>
        <v>273.42</v>
      </c>
      <c r="BI43" s="96">
        <f t="shared" si="113"/>
        <v>300</v>
      </c>
      <c r="BJ43" s="96">
        <f t="shared" si="113"/>
        <v>100</v>
      </c>
      <c r="BK43" s="96">
        <f t="shared" si="113"/>
        <v>0</v>
      </c>
      <c r="BL43" s="96">
        <f t="shared" si="113"/>
        <v>4694.1399999999994</v>
      </c>
      <c r="BM43" s="96">
        <f t="shared" si="113"/>
        <v>4114.67</v>
      </c>
      <c r="BN43" s="96">
        <f t="shared" si="113"/>
        <v>8808.81</v>
      </c>
      <c r="BO43" s="96">
        <f t="shared" si="113"/>
        <v>4462.3499999999995</v>
      </c>
      <c r="BP43" s="96">
        <f t="shared" si="113"/>
        <v>4014.28</v>
      </c>
      <c r="BQ43" s="96">
        <f t="shared" si="113"/>
        <v>231.78999999999945</v>
      </c>
      <c r="BR43" s="96">
        <f t="shared" si="113"/>
        <v>100.38999999999987</v>
      </c>
      <c r="BS43" s="96">
        <f t="shared" si="113"/>
        <v>405.67</v>
      </c>
      <c r="BT43" s="96">
        <f t="shared" si="113"/>
        <v>364.93</v>
      </c>
      <c r="BU43" s="96">
        <f t="shared" si="113"/>
        <v>173.88</v>
      </c>
      <c r="BV43" s="96">
        <f t="shared" si="113"/>
        <v>264.54000000000002</v>
      </c>
      <c r="BW43" s="96">
        <f t="shared" si="113"/>
        <v>180</v>
      </c>
      <c r="BX43" s="96">
        <f t="shared" si="113"/>
        <v>50</v>
      </c>
      <c r="BY43" s="96">
        <f t="shared" si="113"/>
        <v>0</v>
      </c>
      <c r="BZ43" s="96">
        <f t="shared" si="113"/>
        <v>0</v>
      </c>
      <c r="CA43" s="96">
        <f t="shared" si="113"/>
        <v>5048.0199999999995</v>
      </c>
      <c r="CB43" s="96">
        <f t="shared" si="113"/>
        <v>4429.21</v>
      </c>
      <c r="CC43" s="96">
        <f t="shared" si="113"/>
        <v>5552.82</v>
      </c>
      <c r="CD43" s="96">
        <f t="shared" si="113"/>
        <v>5093.59</v>
      </c>
      <c r="CE43" s="96">
        <f t="shared" si="113"/>
        <v>463</v>
      </c>
      <c r="CF43" s="96">
        <f t="shared" si="113"/>
        <v>424</v>
      </c>
      <c r="CG43" s="96">
        <f t="shared" si="113"/>
        <v>1262.01</v>
      </c>
      <c r="CH43" s="96">
        <f t="shared" si="113"/>
        <v>1107.3</v>
      </c>
      <c r="CI43" s="70">
        <f t="shared" si="113"/>
        <v>0</v>
      </c>
      <c r="CJ43" s="70">
        <f t="shared" si="113"/>
        <v>0</v>
      </c>
      <c r="CK43" s="70">
        <f t="shared" si="113"/>
        <v>1315</v>
      </c>
      <c r="CL43" s="70">
        <f t="shared" si="113"/>
        <v>1200</v>
      </c>
      <c r="CM43" s="70">
        <f t="shared" si="113"/>
        <v>0</v>
      </c>
      <c r="CN43" s="70">
        <f t="shared" si="113"/>
        <v>0</v>
      </c>
      <c r="CO43" s="70">
        <f t="shared" si="113"/>
        <v>5663</v>
      </c>
      <c r="CP43" s="70">
        <f t="shared" ref="CP43:FB43" si="114">+CP40+CP41+CP42</f>
        <v>4900</v>
      </c>
      <c r="CQ43" s="70">
        <f t="shared" si="114"/>
        <v>5260</v>
      </c>
      <c r="CR43" s="70">
        <f t="shared" si="114"/>
        <v>4800</v>
      </c>
      <c r="CS43" s="70">
        <f t="shared" si="114"/>
        <v>5260</v>
      </c>
      <c r="CT43" s="70">
        <f t="shared" si="114"/>
        <v>4800</v>
      </c>
      <c r="CU43" s="70">
        <f t="shared" si="114"/>
        <v>5260</v>
      </c>
      <c r="CV43" s="70">
        <f t="shared" si="114"/>
        <v>4800</v>
      </c>
      <c r="CW43" s="70">
        <f t="shared" si="114"/>
        <v>1315</v>
      </c>
      <c r="CX43" s="70">
        <f t="shared" si="114"/>
        <v>1200</v>
      </c>
      <c r="CY43" s="70">
        <f t="shared" si="114"/>
        <v>0</v>
      </c>
      <c r="CZ43" s="70">
        <f t="shared" si="114"/>
        <v>0</v>
      </c>
      <c r="DA43" s="70">
        <f t="shared" si="114"/>
        <v>3093</v>
      </c>
      <c r="DB43" s="70">
        <f t="shared" si="114"/>
        <v>2824</v>
      </c>
      <c r="DC43" s="70">
        <f t="shared" si="114"/>
        <v>2908.13</v>
      </c>
      <c r="DD43" s="70">
        <f t="shared" si="114"/>
        <v>2710.65</v>
      </c>
      <c r="DE43" s="70">
        <f t="shared" si="114"/>
        <v>184.86999999999989</v>
      </c>
      <c r="DF43" s="70">
        <f t="shared" si="114"/>
        <v>113.34999999999991</v>
      </c>
      <c r="DG43" s="70">
        <f t="shared" si="114"/>
        <v>1315</v>
      </c>
      <c r="DH43" s="70">
        <f t="shared" si="114"/>
        <v>1200</v>
      </c>
      <c r="DI43" s="70">
        <f t="shared" si="114"/>
        <v>1130.1300000000001</v>
      </c>
      <c r="DJ43" s="70">
        <f t="shared" si="114"/>
        <v>1086.6500000000001</v>
      </c>
      <c r="DK43" s="70">
        <f t="shared" si="114"/>
        <v>50</v>
      </c>
      <c r="DL43" s="70">
        <f t="shared" si="114"/>
        <v>100</v>
      </c>
      <c r="DM43" s="70">
        <f t="shared" si="114"/>
        <v>4273.13</v>
      </c>
      <c r="DN43" s="70">
        <f t="shared" si="114"/>
        <v>4010.65</v>
      </c>
      <c r="DO43" s="97">
        <f t="shared" si="114"/>
        <v>4251.82</v>
      </c>
      <c r="DP43" s="98">
        <f t="shared" si="114"/>
        <v>4010.65</v>
      </c>
      <c r="DQ43" s="98">
        <f t="shared" si="114"/>
        <v>21.31</v>
      </c>
      <c r="DR43" s="98">
        <f t="shared" si="114"/>
        <v>0</v>
      </c>
      <c r="DS43" s="98">
        <f t="shared" si="114"/>
        <v>425.18200000000002</v>
      </c>
      <c r="DT43" s="98">
        <f t="shared" si="114"/>
        <v>401.065</v>
      </c>
      <c r="DU43" s="98">
        <f t="shared" si="114"/>
        <v>403.87200000000001</v>
      </c>
      <c r="DV43" s="98">
        <f t="shared" si="114"/>
        <v>401.065</v>
      </c>
      <c r="DW43" s="98">
        <f t="shared" si="114"/>
        <v>0</v>
      </c>
      <c r="DX43" s="98">
        <f t="shared" si="114"/>
        <v>150</v>
      </c>
      <c r="DY43" s="98">
        <f t="shared" si="114"/>
        <v>403.87</v>
      </c>
      <c r="DZ43" s="98">
        <f t="shared" si="114"/>
        <v>551.07000000000005</v>
      </c>
      <c r="EA43" s="98">
        <f t="shared" si="114"/>
        <v>0</v>
      </c>
      <c r="EB43" s="134">
        <f t="shared" si="114"/>
        <v>0</v>
      </c>
      <c r="EC43" s="140">
        <f t="shared" si="114"/>
        <v>4677</v>
      </c>
      <c r="ED43" s="140">
        <f t="shared" si="114"/>
        <v>4561.72</v>
      </c>
      <c r="EE43" s="140">
        <f t="shared" si="114"/>
        <v>4655.3999999999996</v>
      </c>
      <c r="EF43" s="140">
        <f t="shared" si="114"/>
        <v>4398.88</v>
      </c>
      <c r="EG43" s="140" t="e">
        <f t="shared" si="114"/>
        <v>#DIV/0!</v>
      </c>
      <c r="EH43" s="140" t="e">
        <f t="shared" si="114"/>
        <v>#DIV/0!</v>
      </c>
      <c r="EI43" s="140">
        <f t="shared" si="114"/>
        <v>21.6</v>
      </c>
      <c r="EJ43" s="140">
        <f t="shared" si="114"/>
        <v>162.84</v>
      </c>
      <c r="EK43" s="140">
        <f t="shared" si="114"/>
        <v>423.21999999999997</v>
      </c>
      <c r="EL43" s="140">
        <f t="shared" si="114"/>
        <v>399.9</v>
      </c>
      <c r="EM43" s="140">
        <f t="shared" si="114"/>
        <v>401.62</v>
      </c>
      <c r="EN43" s="140">
        <f t="shared" si="114"/>
        <v>237.05999999999997</v>
      </c>
      <c r="EO43" s="140">
        <f t="shared" si="114"/>
        <v>385</v>
      </c>
      <c r="EP43" s="140">
        <f t="shared" si="114"/>
        <v>400</v>
      </c>
      <c r="EQ43" s="136">
        <f t="shared" si="114"/>
        <v>0</v>
      </c>
      <c r="ER43" s="47"/>
      <c r="ES43" s="47">
        <f t="shared" si="114"/>
        <v>0</v>
      </c>
      <c r="ET43" s="47">
        <f t="shared" si="114"/>
        <v>0</v>
      </c>
      <c r="EU43" s="5">
        <f t="shared" si="88"/>
        <v>248</v>
      </c>
      <c r="EV43" s="5">
        <f t="shared" si="88"/>
        <v>-161.72000000000025</v>
      </c>
      <c r="EW43" s="47">
        <f t="shared" si="114"/>
        <v>5310</v>
      </c>
      <c r="EX43" s="47">
        <f t="shared" si="114"/>
        <v>4800</v>
      </c>
      <c r="EY43" s="47">
        <f t="shared" si="114"/>
        <v>5716</v>
      </c>
      <c r="EZ43" s="47">
        <f t="shared" si="114"/>
        <v>4800</v>
      </c>
      <c r="FA43" s="46">
        <f t="shared" si="114"/>
        <v>0</v>
      </c>
      <c r="FB43" s="46">
        <f t="shared" si="114"/>
        <v>0</v>
      </c>
    </row>
    <row r="44" spans="1:159" ht="18.75" x14ac:dyDescent="0.25">
      <c r="A44" s="68">
        <v>30</v>
      </c>
      <c r="B44" s="68" t="s">
        <v>159</v>
      </c>
      <c r="C44" s="91" t="s">
        <v>160</v>
      </c>
      <c r="D44" s="67" t="s">
        <v>161</v>
      </c>
      <c r="E44" s="69" t="s">
        <v>162</v>
      </c>
      <c r="F44" s="40">
        <v>3011.3900000000003</v>
      </c>
      <c r="G44" s="40">
        <v>350.65999999999997</v>
      </c>
      <c r="H44" s="40">
        <v>3011.3900000000003</v>
      </c>
      <c r="I44" s="70">
        <v>350.65999999999997</v>
      </c>
      <c r="J44" s="71">
        <v>3321</v>
      </c>
      <c r="K44" s="71">
        <v>490</v>
      </c>
      <c r="L44" s="71">
        <v>0</v>
      </c>
      <c r="M44" s="71">
        <f>J44+K44+L44</f>
        <v>3811</v>
      </c>
      <c r="N44" s="71">
        <v>0</v>
      </c>
      <c r="O44" s="71">
        <v>0</v>
      </c>
      <c r="P44" s="71">
        <v>0</v>
      </c>
      <c r="Q44" s="71">
        <f t="shared" si="105"/>
        <v>0</v>
      </c>
      <c r="R44" s="71">
        <f t="shared" si="106"/>
        <v>3811</v>
      </c>
      <c r="S44" s="71">
        <v>401.87</v>
      </c>
      <c r="T44" s="92"/>
      <c r="U44" s="92"/>
      <c r="V44" s="70">
        <f t="shared" ref="V44:V48" si="115">ROUND(H44*1.0583,2)</f>
        <v>3186.95</v>
      </c>
      <c r="W44" s="40">
        <f t="shared" ref="W44:W48" si="116">ROUND(I44*1.0327,2)</f>
        <v>362.13</v>
      </c>
      <c r="X44" s="70">
        <f t="shared" si="2"/>
        <v>624.05000000000018</v>
      </c>
      <c r="Y44" s="70">
        <f t="shared" si="2"/>
        <v>39.740000000000009</v>
      </c>
      <c r="Z44" s="70">
        <v>3186.95</v>
      </c>
      <c r="AA44" s="70"/>
      <c r="AB44" s="70">
        <f t="shared" si="3"/>
        <v>3186.95</v>
      </c>
      <c r="AC44" s="43">
        <f t="shared" si="4"/>
        <v>0</v>
      </c>
      <c r="AD44" s="70">
        <f t="shared" ref="AD44:AE46" si="117">IF(X44&gt;0,V44,R44)</f>
        <v>3186.95</v>
      </c>
      <c r="AE44" s="70">
        <f t="shared" si="117"/>
        <v>362.13</v>
      </c>
      <c r="AF44" s="70">
        <f t="shared" si="5"/>
        <v>362.57</v>
      </c>
      <c r="AG44" s="43">
        <f t="shared" si="6"/>
        <v>797</v>
      </c>
      <c r="AH44" s="43">
        <f t="shared" si="6"/>
        <v>91</v>
      </c>
      <c r="AI44" s="93">
        <f t="shared" si="7"/>
        <v>266</v>
      </c>
      <c r="AJ44" s="43">
        <f t="shared" si="7"/>
        <v>30</v>
      </c>
      <c r="AK44" s="43"/>
      <c r="AL44" s="43"/>
      <c r="AM44" s="43">
        <f t="shared" si="8"/>
        <v>796.74</v>
      </c>
      <c r="AN44" s="43">
        <f>ROUND(AE44*24.35%,2)+11.82+56.5</f>
        <v>156.5</v>
      </c>
      <c r="AO44" s="43"/>
      <c r="AP44" s="43"/>
      <c r="AQ44" s="43">
        <f t="shared" si="10"/>
        <v>1593.74</v>
      </c>
      <c r="AR44" s="43">
        <f t="shared" si="10"/>
        <v>247.5</v>
      </c>
      <c r="AS44" s="43"/>
      <c r="AT44" s="43"/>
      <c r="AU44" s="43">
        <f t="shared" si="0"/>
        <v>796.74</v>
      </c>
      <c r="AV44" s="43">
        <f t="shared" si="0"/>
        <v>90.53</v>
      </c>
      <c r="AW44" s="43"/>
      <c r="AX44" s="43">
        <v>105</v>
      </c>
      <c r="AY44" s="43">
        <f t="shared" si="11"/>
        <v>2656.48</v>
      </c>
      <c r="AZ44" s="43">
        <f t="shared" si="11"/>
        <v>473.03</v>
      </c>
      <c r="BA44" s="43">
        <f t="shared" si="12"/>
        <v>3129.51</v>
      </c>
      <c r="BB44" s="60">
        <v>2512.08</v>
      </c>
      <c r="BC44" s="60">
        <v>510.9</v>
      </c>
      <c r="BD44" s="60">
        <f t="shared" si="13"/>
        <v>144.40000000000009</v>
      </c>
      <c r="BE44" s="60">
        <f t="shared" si="13"/>
        <v>-37.870000000000005</v>
      </c>
      <c r="BF44" s="60">
        <f t="shared" si="14"/>
        <v>502.42</v>
      </c>
      <c r="BG44" s="60">
        <f t="shared" si="14"/>
        <v>102.18</v>
      </c>
      <c r="BH44" s="43">
        <v>179.01</v>
      </c>
      <c r="BI44" s="43">
        <v>19.7</v>
      </c>
      <c r="BJ44" s="43"/>
      <c r="BK44" s="43"/>
      <c r="BL44" s="43">
        <f t="shared" si="1"/>
        <v>2835.49</v>
      </c>
      <c r="BM44" s="43">
        <f t="shared" si="1"/>
        <v>492.72999999999996</v>
      </c>
      <c r="BN44" s="43">
        <f t="shared" si="1"/>
        <v>5965</v>
      </c>
      <c r="BO44" s="43">
        <v>2820.47</v>
      </c>
      <c r="BP44" s="93">
        <v>478.74</v>
      </c>
      <c r="BQ44" s="43">
        <f t="shared" si="16"/>
        <v>15.019999999999982</v>
      </c>
      <c r="BR44" s="43">
        <f t="shared" si="16"/>
        <v>13.989999999999952</v>
      </c>
      <c r="BS44" s="43">
        <f t="shared" si="17"/>
        <v>256.41000000000003</v>
      </c>
      <c r="BT44" s="43">
        <f t="shared" si="17"/>
        <v>43.52</v>
      </c>
      <c r="BU44" s="43">
        <f t="shared" si="40"/>
        <v>241.39000000000004</v>
      </c>
      <c r="BV44" s="43">
        <v>10</v>
      </c>
      <c r="BW44" s="43">
        <v>130</v>
      </c>
      <c r="BX44" s="43"/>
      <c r="BY44" s="43"/>
      <c r="BZ44" s="43"/>
      <c r="CA44" s="43">
        <v>3206.8799999999997</v>
      </c>
      <c r="CB44" s="43">
        <v>502.72999999999996</v>
      </c>
      <c r="CC44" s="92">
        <v>3527.57</v>
      </c>
      <c r="CD44" s="92">
        <v>578.14</v>
      </c>
      <c r="CE44" s="92">
        <v>294</v>
      </c>
      <c r="CF44" s="92">
        <v>48</v>
      </c>
      <c r="CG44" s="92">
        <f t="shared" si="19"/>
        <v>801.72</v>
      </c>
      <c r="CH44" s="92">
        <f t="shared" si="19"/>
        <v>125.68</v>
      </c>
      <c r="CI44" s="43"/>
      <c r="CJ44" s="43"/>
      <c r="CK44" s="43">
        <v>825</v>
      </c>
      <c r="CL44" s="72">
        <f>200-70</f>
        <v>130</v>
      </c>
      <c r="CM44" s="72"/>
      <c r="CN44" s="72"/>
      <c r="CO44" s="43">
        <v>3664</v>
      </c>
      <c r="CP44" s="43">
        <v>415</v>
      </c>
      <c r="CQ44" s="43">
        <f t="shared" si="20"/>
        <v>3300</v>
      </c>
      <c r="CR44" s="43">
        <f t="shared" si="20"/>
        <v>520</v>
      </c>
      <c r="CS44" s="43">
        <f t="shared" si="21"/>
        <v>3300</v>
      </c>
      <c r="CT44" s="43">
        <f t="shared" si="21"/>
        <v>415</v>
      </c>
      <c r="CU44" s="43">
        <v>3500</v>
      </c>
      <c r="CV44" s="43">
        <v>500</v>
      </c>
      <c r="CW44" s="43">
        <f t="shared" si="22"/>
        <v>875</v>
      </c>
      <c r="CX44" s="43">
        <f t="shared" si="22"/>
        <v>125</v>
      </c>
      <c r="CY44" s="43"/>
      <c r="CZ44" s="43"/>
      <c r="DA44" s="43">
        <f t="shared" si="23"/>
        <v>1994</v>
      </c>
      <c r="DB44" s="43">
        <f t="shared" si="23"/>
        <v>303</v>
      </c>
      <c r="DC44" s="43">
        <v>1933.65</v>
      </c>
      <c r="DD44" s="43">
        <v>253.19</v>
      </c>
      <c r="DE44" s="43">
        <f t="shared" si="24"/>
        <v>60.349999999999909</v>
      </c>
      <c r="DF44" s="43">
        <f t="shared" si="24"/>
        <v>49.81</v>
      </c>
      <c r="DG44" s="43">
        <f>ROUND(0.25*(MIN(CU44,EW44)),2)</f>
        <v>875</v>
      </c>
      <c r="DH44" s="43">
        <f>ROUND(0.25*(MIN(CV44,EX44)),2)</f>
        <v>125</v>
      </c>
      <c r="DI44" s="43">
        <f>+DG44-DE44</f>
        <v>814.65000000000009</v>
      </c>
      <c r="DJ44" s="43">
        <f>+DH44-DF44</f>
        <v>75.19</v>
      </c>
      <c r="DK44" s="43"/>
      <c r="DL44" s="43"/>
      <c r="DM44" s="43">
        <f t="shared" si="25"/>
        <v>2808.65</v>
      </c>
      <c r="DN44" s="43">
        <f t="shared" si="25"/>
        <v>378.19</v>
      </c>
      <c r="DO44" s="94">
        <v>2768.07</v>
      </c>
      <c r="DP44" s="95">
        <v>378.48</v>
      </c>
      <c r="DQ44" s="60">
        <f t="shared" si="26"/>
        <v>40.58</v>
      </c>
      <c r="DR44" s="60">
        <f t="shared" si="26"/>
        <v>-0.28999999999999998</v>
      </c>
      <c r="DS44" s="60">
        <f t="shared" si="27"/>
        <v>276.80700000000002</v>
      </c>
      <c r="DT44" s="60">
        <f t="shared" si="27"/>
        <v>37.847999999999999</v>
      </c>
      <c r="DU44" s="60">
        <f t="shared" si="28"/>
        <v>236.22700000000003</v>
      </c>
      <c r="DV44" s="60">
        <f t="shared" si="28"/>
        <v>38.137999999999998</v>
      </c>
      <c r="DW44" s="60"/>
      <c r="DX44" s="60"/>
      <c r="DY44" s="60">
        <f t="shared" si="29"/>
        <v>236.23</v>
      </c>
      <c r="DZ44" s="60">
        <f t="shared" si="29"/>
        <v>38.14</v>
      </c>
      <c r="EA44" s="60">
        <v>40</v>
      </c>
      <c r="EB44" s="60"/>
      <c r="EC44" s="43">
        <f t="shared" si="30"/>
        <v>3084.88</v>
      </c>
      <c r="ED44" s="43">
        <f t="shared" si="30"/>
        <v>416.33</v>
      </c>
      <c r="EE44" s="43">
        <v>3041.2</v>
      </c>
      <c r="EF44" s="43">
        <v>381.52</v>
      </c>
      <c r="EG44" s="43">
        <f t="shared" si="66"/>
        <v>98.58</v>
      </c>
      <c r="EH44" s="43">
        <f t="shared" si="66"/>
        <v>91.64</v>
      </c>
      <c r="EI44" s="43">
        <f t="shared" si="32"/>
        <v>43.68</v>
      </c>
      <c r="EJ44" s="43">
        <f t="shared" si="32"/>
        <v>34.81</v>
      </c>
      <c r="EK44" s="43">
        <f t="shared" si="33"/>
        <v>276.47000000000003</v>
      </c>
      <c r="EL44" s="43">
        <f t="shared" si="33"/>
        <v>34.68</v>
      </c>
      <c r="EM44" s="43">
        <f t="shared" si="34"/>
        <v>232.79000000000002</v>
      </c>
      <c r="EN44" s="43">
        <f t="shared" si="34"/>
        <v>-0.13000000000000256</v>
      </c>
      <c r="EO44" s="43">
        <v>277.93</v>
      </c>
      <c r="EP44" s="43">
        <v>26.52</v>
      </c>
      <c r="EQ44" s="5"/>
      <c r="ER44" s="5"/>
      <c r="ES44" s="5"/>
      <c r="ET44" s="5"/>
      <c r="EU44" s="5">
        <f t="shared" si="88"/>
        <v>137.18999999999988</v>
      </c>
      <c r="EV44" s="5">
        <f t="shared" si="88"/>
        <v>57.15000000000002</v>
      </c>
      <c r="EW44" s="5">
        <v>3500</v>
      </c>
      <c r="EX44" s="5">
        <v>500</v>
      </c>
      <c r="EY44" s="5">
        <v>3925</v>
      </c>
      <c r="EZ44" s="5">
        <v>575</v>
      </c>
    </row>
    <row r="45" spans="1:159" ht="18.75" x14ac:dyDescent="0.25">
      <c r="A45" s="68">
        <v>31</v>
      </c>
      <c r="B45" s="68" t="s">
        <v>163</v>
      </c>
      <c r="C45" s="91" t="s">
        <v>164</v>
      </c>
      <c r="D45" s="67" t="s">
        <v>165</v>
      </c>
      <c r="E45" s="69" t="s">
        <v>166</v>
      </c>
      <c r="F45" s="40">
        <v>1255.0000000000002</v>
      </c>
      <c r="G45" s="40">
        <v>95.45</v>
      </c>
      <c r="H45" s="40">
        <v>1260.0000000000002</v>
      </c>
      <c r="I45" s="70">
        <v>95.45</v>
      </c>
      <c r="J45" s="71">
        <v>1400</v>
      </c>
      <c r="K45" s="71">
        <v>50</v>
      </c>
      <c r="L45" s="71">
        <v>0</v>
      </c>
      <c r="M45" s="71">
        <f>J45+K45+L45</f>
        <v>1450</v>
      </c>
      <c r="N45" s="71">
        <v>0</v>
      </c>
      <c r="O45" s="71">
        <v>0</v>
      </c>
      <c r="P45" s="71">
        <v>0</v>
      </c>
      <c r="Q45" s="71">
        <f t="shared" si="105"/>
        <v>0</v>
      </c>
      <c r="R45" s="71">
        <f t="shared" si="106"/>
        <v>1450</v>
      </c>
      <c r="S45" s="71">
        <v>200</v>
      </c>
      <c r="T45" s="92"/>
      <c r="U45" s="92"/>
      <c r="V45" s="70">
        <f t="shared" si="115"/>
        <v>1333.46</v>
      </c>
      <c r="W45" s="40">
        <f t="shared" si="116"/>
        <v>98.57</v>
      </c>
      <c r="X45" s="70">
        <f t="shared" si="2"/>
        <v>116.53999999999996</v>
      </c>
      <c r="Y45" s="70">
        <f t="shared" si="2"/>
        <v>101.43</v>
      </c>
      <c r="Z45" s="70">
        <v>1333.46</v>
      </c>
      <c r="AA45" s="70"/>
      <c r="AB45" s="70">
        <f t="shared" si="3"/>
        <v>1333.46</v>
      </c>
      <c r="AC45" s="43">
        <f t="shared" si="4"/>
        <v>0</v>
      </c>
      <c r="AD45" s="70">
        <f t="shared" si="117"/>
        <v>1333.46</v>
      </c>
      <c r="AE45" s="70">
        <f t="shared" si="117"/>
        <v>98.57</v>
      </c>
      <c r="AF45" s="70">
        <f t="shared" si="5"/>
        <v>180.44</v>
      </c>
      <c r="AG45" s="43">
        <f t="shared" si="6"/>
        <v>333</v>
      </c>
      <c r="AH45" s="43">
        <f t="shared" si="6"/>
        <v>25</v>
      </c>
      <c r="AI45" s="93">
        <f t="shared" si="7"/>
        <v>111</v>
      </c>
      <c r="AJ45" s="43">
        <f t="shared" si="7"/>
        <v>8</v>
      </c>
      <c r="AK45" s="43"/>
      <c r="AL45" s="43"/>
      <c r="AM45" s="43">
        <f t="shared" si="8"/>
        <v>333.37</v>
      </c>
      <c r="AN45" s="43">
        <f t="shared" si="9"/>
        <v>24</v>
      </c>
      <c r="AO45" s="43"/>
      <c r="AP45" s="43"/>
      <c r="AQ45" s="43">
        <f t="shared" si="10"/>
        <v>666.37</v>
      </c>
      <c r="AR45" s="43">
        <f t="shared" si="10"/>
        <v>49</v>
      </c>
      <c r="AS45" s="43"/>
      <c r="AT45" s="43"/>
      <c r="AU45" s="43">
        <f t="shared" si="0"/>
        <v>333.37</v>
      </c>
      <c r="AV45" s="43">
        <f>48+42</f>
        <v>90</v>
      </c>
      <c r="AW45" s="43"/>
      <c r="AX45" s="43"/>
      <c r="AY45" s="43">
        <f t="shared" si="11"/>
        <v>1110.74</v>
      </c>
      <c r="AZ45" s="43">
        <f t="shared" si="11"/>
        <v>147</v>
      </c>
      <c r="BA45" s="43">
        <f t="shared" si="12"/>
        <v>1257.74</v>
      </c>
      <c r="BB45" s="60">
        <v>1097.95</v>
      </c>
      <c r="BC45" s="60">
        <v>140.24</v>
      </c>
      <c r="BD45" s="60">
        <f t="shared" si="13"/>
        <v>12.789999999999964</v>
      </c>
      <c r="BE45" s="60">
        <f t="shared" si="13"/>
        <v>6.7599999999999909</v>
      </c>
      <c r="BF45" s="60">
        <f t="shared" si="14"/>
        <v>219.59</v>
      </c>
      <c r="BG45" s="60">
        <f t="shared" si="14"/>
        <v>28.05</v>
      </c>
      <c r="BH45" s="43">
        <v>112.1</v>
      </c>
      <c r="BI45" s="43">
        <v>40</v>
      </c>
      <c r="BJ45" s="43"/>
      <c r="BK45" s="43"/>
      <c r="BL45" s="43">
        <f t="shared" si="1"/>
        <v>1222.8399999999999</v>
      </c>
      <c r="BM45" s="43">
        <f t="shared" si="1"/>
        <v>187</v>
      </c>
      <c r="BN45" s="43">
        <f t="shared" si="1"/>
        <v>2480.58</v>
      </c>
      <c r="BO45" s="43">
        <v>1131.9100000000001</v>
      </c>
      <c r="BP45" s="93">
        <v>152.53</v>
      </c>
      <c r="BQ45" s="43">
        <f t="shared" si="16"/>
        <v>90.929999999999836</v>
      </c>
      <c r="BR45" s="43">
        <f t="shared" si="16"/>
        <v>34.47</v>
      </c>
      <c r="BS45" s="43">
        <f t="shared" si="17"/>
        <v>102.9</v>
      </c>
      <c r="BT45" s="43">
        <f t="shared" si="17"/>
        <v>13.87</v>
      </c>
      <c r="BU45" s="43">
        <v>0</v>
      </c>
      <c r="BV45" s="43">
        <v>0</v>
      </c>
      <c r="BW45" s="43">
        <f>112.1+7.19</f>
        <v>119.28999999999999</v>
      </c>
      <c r="BX45" s="43">
        <v>40</v>
      </c>
      <c r="BY45" s="43"/>
      <c r="BZ45" s="43"/>
      <c r="CA45" s="43">
        <v>1342.1299999999999</v>
      </c>
      <c r="CB45" s="43">
        <v>227</v>
      </c>
      <c r="CC45" s="92">
        <v>1476.34</v>
      </c>
      <c r="CD45" s="92">
        <v>261.05</v>
      </c>
      <c r="CE45" s="92">
        <v>123</v>
      </c>
      <c r="CF45" s="92">
        <v>22</v>
      </c>
      <c r="CG45" s="92">
        <f t="shared" si="19"/>
        <v>335.53</v>
      </c>
      <c r="CH45" s="92">
        <f t="shared" si="19"/>
        <v>56.75</v>
      </c>
      <c r="CI45" s="43"/>
      <c r="CJ45" s="43"/>
      <c r="CK45" s="43">
        <v>330.75</v>
      </c>
      <c r="CL45" s="72">
        <f>76-15</f>
        <v>61</v>
      </c>
      <c r="CM45" s="72"/>
      <c r="CN45" s="72"/>
      <c r="CO45" s="43">
        <v>1450</v>
      </c>
      <c r="CP45" s="43">
        <v>100</v>
      </c>
      <c r="CQ45" s="43">
        <f t="shared" si="20"/>
        <v>1323</v>
      </c>
      <c r="CR45" s="43">
        <f t="shared" si="20"/>
        <v>244</v>
      </c>
      <c r="CS45" s="43">
        <f t="shared" si="21"/>
        <v>1323</v>
      </c>
      <c r="CT45" s="43">
        <f t="shared" si="21"/>
        <v>100</v>
      </c>
      <c r="CU45" s="43">
        <f t="shared" si="21"/>
        <v>1323</v>
      </c>
      <c r="CV45" s="43">
        <f>10+100</f>
        <v>110</v>
      </c>
      <c r="CW45" s="43">
        <v>330.75</v>
      </c>
      <c r="CX45" s="43">
        <v>7</v>
      </c>
      <c r="CY45" s="43"/>
      <c r="CZ45" s="43">
        <v>20</v>
      </c>
      <c r="DA45" s="43">
        <f t="shared" si="23"/>
        <v>784.5</v>
      </c>
      <c r="DB45" s="43">
        <f t="shared" si="23"/>
        <v>110</v>
      </c>
      <c r="DC45" s="43">
        <v>762.42</v>
      </c>
      <c r="DD45" s="43">
        <v>101.4</v>
      </c>
      <c r="DE45" s="43">
        <f t="shared" si="24"/>
        <v>22.080000000000041</v>
      </c>
      <c r="DF45" s="43">
        <f t="shared" si="24"/>
        <v>8.5999999999999943</v>
      </c>
      <c r="DG45" s="43">
        <v>330.75</v>
      </c>
      <c r="DH45" s="43">
        <v>25</v>
      </c>
      <c r="DI45" s="43">
        <f>+DG45-DE45</f>
        <v>308.66999999999996</v>
      </c>
      <c r="DJ45" s="43">
        <f>+DH45-DF45-16.4</f>
        <v>0</v>
      </c>
      <c r="DK45" s="43">
        <v>12</v>
      </c>
      <c r="DL45" s="43"/>
      <c r="DM45" s="43">
        <f t="shared" si="25"/>
        <v>1105.17</v>
      </c>
      <c r="DN45" s="43">
        <f t="shared" si="25"/>
        <v>110</v>
      </c>
      <c r="DO45" s="94">
        <v>1104.4100000000001</v>
      </c>
      <c r="DP45" s="95">
        <v>102.28</v>
      </c>
      <c r="DQ45" s="60">
        <f t="shared" si="26"/>
        <v>0.76</v>
      </c>
      <c r="DR45" s="60">
        <f t="shared" si="26"/>
        <v>7.72</v>
      </c>
      <c r="DS45" s="60">
        <f t="shared" si="27"/>
        <v>110.441</v>
      </c>
      <c r="DT45" s="60">
        <f t="shared" si="27"/>
        <v>10.228</v>
      </c>
      <c r="DU45" s="60">
        <f t="shared" si="28"/>
        <v>109.681</v>
      </c>
      <c r="DV45" s="60">
        <f t="shared" si="28"/>
        <v>2.508</v>
      </c>
      <c r="DW45" s="60"/>
      <c r="DX45" s="60"/>
      <c r="DY45" s="60">
        <f t="shared" si="29"/>
        <v>109.68</v>
      </c>
      <c r="DZ45" s="60">
        <f t="shared" si="29"/>
        <v>2.5099999999999998</v>
      </c>
      <c r="EA45" s="60"/>
      <c r="EB45" s="60">
        <v>38</v>
      </c>
      <c r="EC45" s="43">
        <f t="shared" si="30"/>
        <v>1214.8500000000001</v>
      </c>
      <c r="ED45" s="43">
        <f t="shared" si="30"/>
        <v>150.51</v>
      </c>
      <c r="EE45" s="43">
        <v>1214.3599999999999</v>
      </c>
      <c r="EF45" s="43">
        <v>147.94999999999999</v>
      </c>
      <c r="EG45" s="43">
        <f t="shared" si="66"/>
        <v>99.96</v>
      </c>
      <c r="EH45" s="43">
        <f t="shared" si="66"/>
        <v>98.3</v>
      </c>
      <c r="EI45" s="43">
        <f t="shared" si="32"/>
        <v>0.49</v>
      </c>
      <c r="EJ45" s="43">
        <f t="shared" si="32"/>
        <v>2.56</v>
      </c>
      <c r="EK45" s="43">
        <f t="shared" si="33"/>
        <v>110.4</v>
      </c>
      <c r="EL45" s="43">
        <f t="shared" si="33"/>
        <v>13.45</v>
      </c>
      <c r="EM45" s="43">
        <f t="shared" si="34"/>
        <v>109.91000000000001</v>
      </c>
      <c r="EN45" s="43">
        <f t="shared" si="34"/>
        <v>10.889999999999999</v>
      </c>
      <c r="EO45" s="43">
        <v>110</v>
      </c>
      <c r="EP45" s="43">
        <v>0</v>
      </c>
      <c r="EQ45" s="5"/>
      <c r="ER45" s="5"/>
      <c r="ES45" s="5"/>
      <c r="ET45" s="5"/>
      <c r="EU45" s="5">
        <f t="shared" si="88"/>
        <v>268.99999999999977</v>
      </c>
      <c r="EV45" s="5">
        <f t="shared" si="88"/>
        <v>19.490000000000009</v>
      </c>
      <c r="EW45" s="5">
        <v>1593.85</v>
      </c>
      <c r="EX45" s="5">
        <v>170</v>
      </c>
      <c r="EY45" s="5">
        <v>1800</v>
      </c>
      <c r="EZ45" s="5">
        <v>300</v>
      </c>
    </row>
    <row r="46" spans="1:159" ht="18.75" x14ac:dyDescent="0.25">
      <c r="A46" s="37">
        <v>32</v>
      </c>
      <c r="B46" s="37"/>
      <c r="C46" s="91" t="s">
        <v>122</v>
      </c>
      <c r="D46" s="38" t="s">
        <v>167</v>
      </c>
      <c r="E46" s="39"/>
      <c r="F46" s="40">
        <v>792.64</v>
      </c>
      <c r="G46" s="40">
        <v>217.26</v>
      </c>
      <c r="H46" s="40">
        <v>792.64</v>
      </c>
      <c r="I46" s="40">
        <v>237.26</v>
      </c>
      <c r="J46" s="41">
        <v>950</v>
      </c>
      <c r="K46" s="41">
        <v>0</v>
      </c>
      <c r="L46" s="41">
        <v>0</v>
      </c>
      <c r="M46" s="41">
        <f>J46+K46+L46</f>
        <v>950</v>
      </c>
      <c r="N46" s="41">
        <v>0</v>
      </c>
      <c r="O46" s="41">
        <v>0</v>
      </c>
      <c r="P46" s="41">
        <v>0</v>
      </c>
      <c r="Q46" s="41">
        <f t="shared" si="105"/>
        <v>0</v>
      </c>
      <c r="R46" s="41">
        <f t="shared" si="106"/>
        <v>950</v>
      </c>
      <c r="S46" s="41">
        <v>30</v>
      </c>
      <c r="T46" s="92"/>
      <c r="U46" s="92"/>
      <c r="V46" s="40">
        <f t="shared" si="115"/>
        <v>838.85</v>
      </c>
      <c r="W46" s="40">
        <f t="shared" si="116"/>
        <v>245.02</v>
      </c>
      <c r="X46" s="43">
        <f t="shared" si="2"/>
        <v>111.14999999999998</v>
      </c>
      <c r="Y46" s="43">
        <f t="shared" si="2"/>
        <v>-215.02</v>
      </c>
      <c r="Z46" s="43">
        <v>838.85</v>
      </c>
      <c r="AA46" s="43"/>
      <c r="AB46" s="43">
        <f t="shared" si="3"/>
        <v>838.85</v>
      </c>
      <c r="AC46" s="43">
        <v>0</v>
      </c>
      <c r="AD46" s="43">
        <f t="shared" si="117"/>
        <v>838.85</v>
      </c>
      <c r="AE46" s="43">
        <f t="shared" si="117"/>
        <v>30</v>
      </c>
      <c r="AF46" s="43">
        <f t="shared" si="5"/>
        <v>27.07</v>
      </c>
      <c r="AG46" s="43">
        <f t="shared" si="6"/>
        <v>210</v>
      </c>
      <c r="AH46" s="43">
        <f t="shared" si="6"/>
        <v>8</v>
      </c>
      <c r="AI46" s="93">
        <f t="shared" si="7"/>
        <v>70</v>
      </c>
      <c r="AJ46" s="43">
        <f t="shared" si="7"/>
        <v>3</v>
      </c>
      <c r="AK46" s="43"/>
      <c r="AL46" s="43"/>
      <c r="AM46" s="43">
        <f t="shared" si="8"/>
        <v>209.71</v>
      </c>
      <c r="AN46" s="43">
        <f t="shared" si="9"/>
        <v>7.31</v>
      </c>
      <c r="AO46" s="43"/>
      <c r="AP46" s="43"/>
      <c r="AQ46" s="43">
        <f t="shared" si="10"/>
        <v>419.71000000000004</v>
      </c>
      <c r="AR46" s="43">
        <f t="shared" si="10"/>
        <v>15.309999999999999</v>
      </c>
      <c r="AS46" s="43"/>
      <c r="AT46" s="43"/>
      <c r="AU46" s="43">
        <f t="shared" si="0"/>
        <v>209.71</v>
      </c>
      <c r="AV46" s="43">
        <f>ROUND(AE46*25%,2)</f>
        <v>7.5</v>
      </c>
      <c r="AW46" s="43">
        <v>50</v>
      </c>
      <c r="AX46" s="43">
        <v>3.19</v>
      </c>
      <c r="AY46" s="43">
        <f t="shared" si="11"/>
        <v>749.42000000000007</v>
      </c>
      <c r="AZ46" s="43">
        <f t="shared" si="11"/>
        <v>29</v>
      </c>
      <c r="BA46" s="43">
        <f t="shared" si="12"/>
        <v>778.42000000000007</v>
      </c>
      <c r="BB46" s="60">
        <v>744.49</v>
      </c>
      <c r="BC46" s="60">
        <v>20.81</v>
      </c>
      <c r="BD46" s="60">
        <f t="shared" si="13"/>
        <v>4.9300000000000637</v>
      </c>
      <c r="BE46" s="60">
        <f t="shared" si="13"/>
        <v>8.1900000000000013</v>
      </c>
      <c r="BF46" s="60">
        <f t="shared" si="14"/>
        <v>148.9</v>
      </c>
      <c r="BG46" s="60">
        <f t="shared" si="14"/>
        <v>4.16</v>
      </c>
      <c r="BH46" s="43">
        <v>85.29</v>
      </c>
      <c r="BI46" s="43">
        <v>5.5</v>
      </c>
      <c r="BJ46" s="43"/>
      <c r="BK46" s="43"/>
      <c r="BL46" s="43">
        <f t="shared" si="1"/>
        <v>834.71</v>
      </c>
      <c r="BM46" s="43">
        <f t="shared" si="1"/>
        <v>34.5</v>
      </c>
      <c r="BN46" s="43">
        <f t="shared" si="15"/>
        <v>869.21</v>
      </c>
      <c r="BO46" s="43">
        <v>823.46</v>
      </c>
      <c r="BP46" s="93">
        <v>21.42</v>
      </c>
      <c r="BQ46" s="43">
        <f t="shared" si="16"/>
        <v>11.25</v>
      </c>
      <c r="BR46" s="43">
        <f t="shared" si="16"/>
        <v>13.079999999999998</v>
      </c>
      <c r="BS46" s="43">
        <f t="shared" si="17"/>
        <v>74.86</v>
      </c>
      <c r="BT46" s="43">
        <f t="shared" si="17"/>
        <v>1.95</v>
      </c>
      <c r="BU46" s="43">
        <f>BS46-BQ46</f>
        <v>63.61</v>
      </c>
      <c r="BV46" s="43">
        <v>0</v>
      </c>
      <c r="BW46" s="43">
        <v>24.68</v>
      </c>
      <c r="BX46" s="43"/>
      <c r="BY46" s="43"/>
      <c r="BZ46" s="43"/>
      <c r="CA46" s="43">
        <v>923</v>
      </c>
      <c r="CB46" s="43">
        <v>34.5</v>
      </c>
      <c r="CC46" s="92">
        <v>1015.3</v>
      </c>
      <c r="CD46" s="92">
        <v>39.68</v>
      </c>
      <c r="CE46" s="92">
        <v>85</v>
      </c>
      <c r="CF46" s="92">
        <v>3</v>
      </c>
      <c r="CG46" s="92">
        <f t="shared" si="19"/>
        <v>230.75</v>
      </c>
      <c r="CH46" s="92">
        <f t="shared" si="19"/>
        <v>8.6300000000000008</v>
      </c>
      <c r="CI46" s="43"/>
      <c r="CJ46" s="43"/>
      <c r="CK46" s="72">
        <f>280-10</f>
        <v>270</v>
      </c>
      <c r="CL46" s="72">
        <f>120-50-20</f>
        <v>50</v>
      </c>
      <c r="CM46" s="72"/>
      <c r="CN46" s="72">
        <v>60</v>
      </c>
      <c r="CO46" s="43">
        <v>955.75</v>
      </c>
      <c r="CP46" s="43">
        <v>200</v>
      </c>
      <c r="CQ46" s="43">
        <f t="shared" si="20"/>
        <v>1080</v>
      </c>
      <c r="CR46" s="43">
        <f t="shared" si="20"/>
        <v>200</v>
      </c>
      <c r="CS46" s="43">
        <f t="shared" si="21"/>
        <v>955.75</v>
      </c>
      <c r="CT46" s="43">
        <f t="shared" si="21"/>
        <v>200</v>
      </c>
      <c r="CU46" s="43">
        <f t="shared" si="21"/>
        <v>955.75</v>
      </c>
      <c r="CV46" s="43">
        <v>300</v>
      </c>
      <c r="CW46" s="43">
        <f t="shared" si="22"/>
        <v>238.94</v>
      </c>
      <c r="CX46" s="43">
        <f>ROUND(CV46*25%,2)-15</f>
        <v>60</v>
      </c>
      <c r="CY46" s="43"/>
      <c r="CZ46" s="43">
        <v>120</v>
      </c>
      <c r="DA46" s="43">
        <f t="shared" si="23"/>
        <v>593.94000000000005</v>
      </c>
      <c r="DB46" s="43">
        <f t="shared" si="23"/>
        <v>293</v>
      </c>
      <c r="DC46" s="43">
        <v>577.32000000000005</v>
      </c>
      <c r="DD46" s="43">
        <v>224.97</v>
      </c>
      <c r="DE46" s="43">
        <f t="shared" si="24"/>
        <v>16.620000000000005</v>
      </c>
      <c r="DF46" s="43">
        <f t="shared" si="24"/>
        <v>68.03</v>
      </c>
      <c r="DG46" s="43">
        <f t="shared" ref="DG46:DH48" si="118">ROUND(0.25*(MIN(CU46,EW46)),2)</f>
        <v>238.94</v>
      </c>
      <c r="DH46" s="43">
        <f t="shared" si="118"/>
        <v>73.25</v>
      </c>
      <c r="DI46" s="43">
        <f>+DG46-DE46</f>
        <v>222.32</v>
      </c>
      <c r="DJ46" s="43">
        <f>+DH46-DF46-5.22</f>
        <v>0</v>
      </c>
      <c r="DK46" s="43"/>
      <c r="DL46" s="43"/>
      <c r="DM46" s="43">
        <f t="shared" si="25"/>
        <v>816.26</v>
      </c>
      <c r="DN46" s="43">
        <f t="shared" si="25"/>
        <v>293</v>
      </c>
      <c r="DO46" s="94">
        <v>812.94</v>
      </c>
      <c r="DP46" s="95">
        <v>290.55</v>
      </c>
      <c r="DQ46" s="60">
        <f t="shared" si="26"/>
        <v>3.32</v>
      </c>
      <c r="DR46" s="60">
        <f t="shared" si="26"/>
        <v>2.4500000000000002</v>
      </c>
      <c r="DS46" s="60">
        <f t="shared" si="27"/>
        <v>81.294000000000011</v>
      </c>
      <c r="DT46" s="60">
        <f t="shared" si="27"/>
        <v>29.055</v>
      </c>
      <c r="DU46" s="60">
        <f t="shared" si="28"/>
        <v>77.974000000000018</v>
      </c>
      <c r="DV46" s="60">
        <f t="shared" si="28"/>
        <v>26.605</v>
      </c>
      <c r="DW46" s="60"/>
      <c r="DX46" s="60"/>
      <c r="DY46" s="60">
        <f t="shared" si="29"/>
        <v>77.97</v>
      </c>
      <c r="DZ46" s="60">
        <f>ROUND(DV46+DX46,2)-26.61</f>
        <v>0</v>
      </c>
      <c r="EA46" s="60"/>
      <c r="EB46" s="60"/>
      <c r="EC46" s="43">
        <f t="shared" si="30"/>
        <v>894.23</v>
      </c>
      <c r="ED46" s="43">
        <f t="shared" si="30"/>
        <v>293</v>
      </c>
      <c r="EE46" s="43">
        <v>888.73</v>
      </c>
      <c r="EF46" s="43">
        <v>291.32</v>
      </c>
      <c r="EG46" s="43">
        <f t="shared" si="66"/>
        <v>99.38</v>
      </c>
      <c r="EH46" s="43">
        <f t="shared" si="66"/>
        <v>99.43</v>
      </c>
      <c r="EI46" s="43">
        <f t="shared" si="32"/>
        <v>5.5</v>
      </c>
      <c r="EJ46" s="43">
        <f t="shared" si="32"/>
        <v>1.68</v>
      </c>
      <c r="EK46" s="43">
        <f t="shared" si="33"/>
        <v>80.790000000000006</v>
      </c>
      <c r="EL46" s="43">
        <f t="shared" si="33"/>
        <v>26.48</v>
      </c>
      <c r="EM46" s="43">
        <f t="shared" si="34"/>
        <v>75.290000000000006</v>
      </c>
      <c r="EN46" s="43">
        <f t="shared" si="34"/>
        <v>24.8</v>
      </c>
      <c r="EO46" s="43">
        <v>73</v>
      </c>
      <c r="EP46" s="43">
        <v>0</v>
      </c>
      <c r="EQ46" s="5"/>
      <c r="ER46" s="5"/>
      <c r="ES46" s="5"/>
      <c r="ET46" s="5"/>
      <c r="EU46" s="5">
        <f t="shared" si="88"/>
        <v>2.7699999999999818</v>
      </c>
      <c r="EV46" s="5">
        <f t="shared" si="88"/>
        <v>0</v>
      </c>
      <c r="EW46" s="5">
        <v>970</v>
      </c>
      <c r="EX46" s="5">
        <v>293</v>
      </c>
      <c r="EY46" s="5">
        <v>1100</v>
      </c>
      <c r="EZ46" s="5">
        <v>25</v>
      </c>
    </row>
    <row r="47" spans="1:159" ht="31.5" x14ac:dyDescent="0.25">
      <c r="A47" s="37">
        <v>33</v>
      </c>
      <c r="B47" s="37"/>
      <c r="C47" s="91" t="s">
        <v>122</v>
      </c>
      <c r="D47" s="105" t="s">
        <v>168</v>
      </c>
      <c r="E47" s="39"/>
      <c r="F47" s="40">
        <v>223.15999999999997</v>
      </c>
      <c r="G47" s="40">
        <v>0</v>
      </c>
      <c r="H47" s="40">
        <v>223.15999999999997</v>
      </c>
      <c r="I47" s="40">
        <v>0</v>
      </c>
      <c r="J47" s="41">
        <v>232.1</v>
      </c>
      <c r="K47" s="41">
        <v>0</v>
      </c>
      <c r="L47" s="41">
        <v>0</v>
      </c>
      <c r="M47" s="41">
        <f t="shared" ref="M47:M48" si="119">J47+K47+L47</f>
        <v>232.1</v>
      </c>
      <c r="N47" s="41">
        <v>53.9</v>
      </c>
      <c r="O47" s="41">
        <v>0</v>
      </c>
      <c r="P47" s="41">
        <v>0</v>
      </c>
      <c r="Q47" s="41">
        <f t="shared" si="105"/>
        <v>53.9</v>
      </c>
      <c r="R47" s="41">
        <f t="shared" si="106"/>
        <v>286</v>
      </c>
      <c r="S47" s="41">
        <v>0</v>
      </c>
      <c r="T47" s="92"/>
      <c r="U47" s="92"/>
      <c r="V47" s="40">
        <f t="shared" si="115"/>
        <v>236.17</v>
      </c>
      <c r="W47" s="40">
        <f t="shared" si="116"/>
        <v>0</v>
      </c>
      <c r="X47" s="43">
        <f t="shared" si="2"/>
        <v>49.830000000000013</v>
      </c>
      <c r="Y47" s="43">
        <f t="shared" si="2"/>
        <v>0</v>
      </c>
      <c r="Z47" s="43">
        <f>360.17+312.05</f>
        <v>672.22</v>
      </c>
      <c r="AA47" s="43">
        <f>47.08+70</f>
        <v>117.08</v>
      </c>
      <c r="AB47" s="43">
        <f t="shared" si="3"/>
        <v>789.30000000000007</v>
      </c>
      <c r="AC47" s="43">
        <v>0</v>
      </c>
      <c r="AD47" s="43">
        <v>789.30000000000007</v>
      </c>
      <c r="AE47" s="43">
        <v>0</v>
      </c>
      <c r="AF47" s="43">
        <v>0</v>
      </c>
      <c r="AG47" s="43">
        <f>102+96</f>
        <v>198</v>
      </c>
      <c r="AH47" s="43">
        <v>0</v>
      </c>
      <c r="AI47" s="93">
        <f>34+32</f>
        <v>66</v>
      </c>
      <c r="AJ47" s="43">
        <v>0</v>
      </c>
      <c r="AK47" s="43"/>
      <c r="AL47" s="43"/>
      <c r="AM47" s="43">
        <f>101.81+95.51</f>
        <v>197.32</v>
      </c>
      <c r="AN47" s="43">
        <v>0</v>
      </c>
      <c r="AO47" s="43"/>
      <c r="AP47" s="43"/>
      <c r="AQ47" s="43">
        <f t="shared" si="10"/>
        <v>395.32</v>
      </c>
      <c r="AR47" s="43">
        <v>0</v>
      </c>
      <c r="AS47" s="43"/>
      <c r="AT47" s="43"/>
      <c r="AU47" s="43">
        <f>101.81+95.51</f>
        <v>197.32</v>
      </c>
      <c r="AV47" s="43">
        <v>0</v>
      </c>
      <c r="AW47" s="43"/>
      <c r="AX47" s="43"/>
      <c r="AY47" s="43">
        <f t="shared" si="11"/>
        <v>658.64</v>
      </c>
      <c r="AZ47" s="43">
        <f t="shared" si="11"/>
        <v>0</v>
      </c>
      <c r="BA47" s="43">
        <f t="shared" si="12"/>
        <v>658.64</v>
      </c>
      <c r="BB47" s="60">
        <f>534.9+318.22</f>
        <v>853.12</v>
      </c>
      <c r="BC47" s="60"/>
      <c r="BD47" s="60">
        <f t="shared" si="13"/>
        <v>-194.48000000000002</v>
      </c>
      <c r="BE47" s="60">
        <f t="shared" si="13"/>
        <v>0</v>
      </c>
      <c r="BF47" s="60">
        <f t="shared" si="14"/>
        <v>170.62</v>
      </c>
      <c r="BG47" s="60">
        <f t="shared" si="14"/>
        <v>0</v>
      </c>
      <c r="BH47" s="43">
        <v>132.55000000000001</v>
      </c>
      <c r="BI47" s="43">
        <v>0</v>
      </c>
      <c r="BJ47" s="43"/>
      <c r="BK47" s="43"/>
      <c r="BL47" s="43">
        <f t="shared" si="1"/>
        <v>791.19</v>
      </c>
      <c r="BM47" s="43">
        <f t="shared" si="1"/>
        <v>0</v>
      </c>
      <c r="BN47" s="43">
        <f t="shared" si="15"/>
        <v>791.19</v>
      </c>
      <c r="BO47" s="43">
        <v>853.12</v>
      </c>
      <c r="BP47" s="93"/>
      <c r="BQ47" s="43">
        <f t="shared" si="16"/>
        <v>-61.92999999999995</v>
      </c>
      <c r="BR47" s="43">
        <f t="shared" si="16"/>
        <v>0</v>
      </c>
      <c r="BS47" s="43">
        <f t="shared" si="17"/>
        <v>77.56</v>
      </c>
      <c r="BT47" s="43">
        <f t="shared" si="17"/>
        <v>0</v>
      </c>
      <c r="BU47" s="43">
        <f t="shared" si="40"/>
        <v>139.48999999999995</v>
      </c>
      <c r="BV47" s="43">
        <f t="shared" si="99"/>
        <v>0</v>
      </c>
      <c r="BW47" s="43"/>
      <c r="BX47" s="43"/>
      <c r="BY47" s="43"/>
      <c r="BZ47" s="43"/>
      <c r="CA47" s="43">
        <f>930.68-25.78-15.9</f>
        <v>889</v>
      </c>
      <c r="CB47" s="43">
        <v>0</v>
      </c>
      <c r="CC47" s="92">
        <v>1023.75</v>
      </c>
      <c r="CD47" s="92">
        <v>0</v>
      </c>
      <c r="CE47" s="92">
        <v>85</v>
      </c>
      <c r="CF47" s="92">
        <v>0</v>
      </c>
      <c r="CG47" s="92">
        <f t="shared" si="19"/>
        <v>222.25</v>
      </c>
      <c r="CH47" s="92">
        <f t="shared" si="19"/>
        <v>0</v>
      </c>
      <c r="CI47" s="43"/>
      <c r="CJ47" s="43"/>
      <c r="CK47" s="43">
        <v>200</v>
      </c>
      <c r="CL47" s="43">
        <v>0</v>
      </c>
      <c r="CM47" s="43"/>
      <c r="CN47" s="43"/>
      <c r="CO47" s="43">
        <v>1068</v>
      </c>
      <c r="CP47" s="43"/>
      <c r="CQ47" s="43">
        <f t="shared" si="20"/>
        <v>800</v>
      </c>
      <c r="CR47" s="43">
        <f t="shared" si="20"/>
        <v>0</v>
      </c>
      <c r="CS47" s="43">
        <f t="shared" si="21"/>
        <v>800</v>
      </c>
      <c r="CT47" s="43">
        <f t="shared" si="21"/>
        <v>0</v>
      </c>
      <c r="CU47" s="43">
        <f t="shared" si="21"/>
        <v>800</v>
      </c>
      <c r="CV47" s="43">
        <v>0</v>
      </c>
      <c r="CW47" s="43">
        <f t="shared" si="22"/>
        <v>200</v>
      </c>
      <c r="CX47" s="43">
        <f t="shared" si="22"/>
        <v>0</v>
      </c>
      <c r="CY47" s="43"/>
      <c r="CZ47" s="43"/>
      <c r="DA47" s="43">
        <f t="shared" si="23"/>
        <v>485</v>
      </c>
      <c r="DB47" s="43">
        <f t="shared" si="23"/>
        <v>0</v>
      </c>
      <c r="DC47" s="43">
        <v>485</v>
      </c>
      <c r="DD47" s="43">
        <v>0</v>
      </c>
      <c r="DE47" s="43">
        <f t="shared" si="24"/>
        <v>0</v>
      </c>
      <c r="DF47" s="43">
        <f t="shared" si="24"/>
        <v>0</v>
      </c>
      <c r="DG47" s="43">
        <f t="shared" si="118"/>
        <v>200</v>
      </c>
      <c r="DH47" s="43">
        <f t="shared" si="118"/>
        <v>0</v>
      </c>
      <c r="DI47" s="43">
        <f>+DG47-DE47</f>
        <v>200</v>
      </c>
      <c r="DJ47" s="43">
        <f>+DH47-DF47</f>
        <v>0</v>
      </c>
      <c r="DK47" s="43"/>
      <c r="DL47" s="43"/>
      <c r="DM47" s="43">
        <f t="shared" si="25"/>
        <v>685</v>
      </c>
      <c r="DN47" s="43">
        <f t="shared" si="25"/>
        <v>0</v>
      </c>
      <c r="DO47" s="94">
        <v>685</v>
      </c>
      <c r="DP47" s="95">
        <v>0</v>
      </c>
      <c r="DQ47" s="60">
        <f t="shared" si="26"/>
        <v>0</v>
      </c>
      <c r="DR47" s="60">
        <f t="shared" si="26"/>
        <v>0</v>
      </c>
      <c r="DS47" s="60">
        <f t="shared" si="27"/>
        <v>68.5</v>
      </c>
      <c r="DT47" s="60">
        <f t="shared" si="27"/>
        <v>0</v>
      </c>
      <c r="DU47" s="60">
        <f t="shared" si="28"/>
        <v>68.5</v>
      </c>
      <c r="DV47" s="60">
        <f t="shared" si="28"/>
        <v>0</v>
      </c>
      <c r="DW47" s="60"/>
      <c r="DX47" s="60"/>
      <c r="DY47" s="60">
        <f t="shared" si="29"/>
        <v>68.5</v>
      </c>
      <c r="DZ47" s="60">
        <f t="shared" si="29"/>
        <v>0</v>
      </c>
      <c r="EA47" s="60"/>
      <c r="EB47" s="60"/>
      <c r="EC47" s="43">
        <f t="shared" si="30"/>
        <v>753.5</v>
      </c>
      <c r="ED47" s="43">
        <f t="shared" si="30"/>
        <v>0</v>
      </c>
      <c r="EE47" s="43">
        <v>685</v>
      </c>
      <c r="EF47" s="43"/>
      <c r="EG47" s="43">
        <f t="shared" si="66"/>
        <v>90.91</v>
      </c>
      <c r="EH47" s="43" t="e">
        <f t="shared" si="66"/>
        <v>#DIV/0!</v>
      </c>
      <c r="EI47" s="43">
        <f t="shared" si="32"/>
        <v>68.5</v>
      </c>
      <c r="EJ47" s="43">
        <f t="shared" si="32"/>
        <v>0</v>
      </c>
      <c r="EK47" s="43">
        <f t="shared" si="33"/>
        <v>62.27</v>
      </c>
      <c r="EL47" s="43">
        <f t="shared" si="33"/>
        <v>0</v>
      </c>
      <c r="EM47" s="43">
        <f t="shared" si="34"/>
        <v>-6.2299999999999969</v>
      </c>
      <c r="EN47" s="43">
        <f t="shared" si="34"/>
        <v>0</v>
      </c>
      <c r="EO47" s="43">
        <v>0</v>
      </c>
      <c r="EP47" s="43">
        <v>0</v>
      </c>
      <c r="EQ47" s="5"/>
      <c r="ER47" s="5"/>
      <c r="ES47" s="5"/>
      <c r="ET47" s="5"/>
      <c r="EU47" s="5">
        <f t="shared" si="88"/>
        <v>132.76</v>
      </c>
      <c r="EV47" s="5">
        <f t="shared" si="88"/>
        <v>0</v>
      </c>
      <c r="EW47" s="5">
        <f>750+136.26</f>
        <v>886.26</v>
      </c>
      <c r="EX47" s="5">
        <v>0</v>
      </c>
      <c r="EY47" s="58">
        <f>1228+159</f>
        <v>1387</v>
      </c>
      <c r="EZ47" s="5">
        <v>0</v>
      </c>
    </row>
    <row r="48" spans="1:159" ht="31.5" x14ac:dyDescent="0.25">
      <c r="A48" s="37">
        <v>34</v>
      </c>
      <c r="B48" s="37"/>
      <c r="C48" s="91" t="s">
        <v>122</v>
      </c>
      <c r="D48" s="105" t="s">
        <v>169</v>
      </c>
      <c r="E48" s="39"/>
      <c r="F48" s="40">
        <v>161.66</v>
      </c>
      <c r="G48" s="40">
        <v>0</v>
      </c>
      <c r="H48" s="40">
        <v>161.66</v>
      </c>
      <c r="I48" s="40">
        <v>0</v>
      </c>
      <c r="J48" s="41">
        <v>205.8</v>
      </c>
      <c r="K48" s="41">
        <v>0</v>
      </c>
      <c r="L48" s="41">
        <v>0</v>
      </c>
      <c r="M48" s="41">
        <f t="shared" si="119"/>
        <v>205.8</v>
      </c>
      <c r="N48" s="41">
        <v>17.2</v>
      </c>
      <c r="O48" s="41">
        <v>0</v>
      </c>
      <c r="P48" s="41">
        <v>0</v>
      </c>
      <c r="Q48" s="41">
        <f t="shared" si="105"/>
        <v>17.2</v>
      </c>
      <c r="R48" s="41">
        <f t="shared" si="106"/>
        <v>223</v>
      </c>
      <c r="S48" s="41">
        <v>0</v>
      </c>
      <c r="T48" s="92"/>
      <c r="U48" s="92"/>
      <c r="V48" s="40">
        <f t="shared" si="115"/>
        <v>171.08</v>
      </c>
      <c r="W48" s="40">
        <f t="shared" si="116"/>
        <v>0</v>
      </c>
      <c r="X48" s="43">
        <f t="shared" si="2"/>
        <v>51.919999999999987</v>
      </c>
      <c r="Y48" s="43">
        <f t="shared" si="2"/>
        <v>0</v>
      </c>
      <c r="Z48" s="43"/>
      <c r="AA48" s="43"/>
      <c r="AB48" s="43">
        <f t="shared" si="3"/>
        <v>0</v>
      </c>
      <c r="AC48" s="43">
        <v>0</v>
      </c>
      <c r="AD48" s="43"/>
      <c r="AE48" s="43">
        <v>0</v>
      </c>
      <c r="AF48" s="43">
        <v>0</v>
      </c>
      <c r="AG48" s="43"/>
      <c r="AH48" s="43">
        <v>0</v>
      </c>
      <c r="AI48" s="93"/>
      <c r="AJ48" s="43">
        <v>0</v>
      </c>
      <c r="AK48" s="43"/>
      <c r="AL48" s="43"/>
      <c r="AM48" s="43"/>
      <c r="AN48" s="43">
        <v>0</v>
      </c>
      <c r="AO48" s="43"/>
      <c r="AP48" s="43"/>
      <c r="AQ48" s="43">
        <f t="shared" si="10"/>
        <v>0</v>
      </c>
      <c r="AR48" s="43">
        <v>0</v>
      </c>
      <c r="AS48" s="43"/>
      <c r="AT48" s="43"/>
      <c r="AU48" s="43"/>
      <c r="AV48" s="43">
        <v>0</v>
      </c>
      <c r="AW48" s="43"/>
      <c r="AX48" s="43"/>
      <c r="AY48" s="43">
        <f t="shared" si="11"/>
        <v>0</v>
      </c>
      <c r="AZ48" s="43">
        <f t="shared" si="11"/>
        <v>0</v>
      </c>
      <c r="BA48" s="43">
        <f t="shared" si="12"/>
        <v>0</v>
      </c>
      <c r="BB48" s="60"/>
      <c r="BC48" s="60"/>
      <c r="BD48" s="60">
        <f t="shared" si="13"/>
        <v>0</v>
      </c>
      <c r="BE48" s="60">
        <f t="shared" si="13"/>
        <v>0</v>
      </c>
      <c r="BF48" s="60">
        <f t="shared" si="14"/>
        <v>0</v>
      </c>
      <c r="BG48" s="60">
        <f t="shared" si="14"/>
        <v>0</v>
      </c>
      <c r="BH48" s="43">
        <v>0</v>
      </c>
      <c r="BI48" s="43">
        <v>0</v>
      </c>
      <c r="BJ48" s="43"/>
      <c r="BK48" s="43"/>
      <c r="BL48" s="43">
        <f t="shared" si="1"/>
        <v>0</v>
      </c>
      <c r="BM48" s="43">
        <f t="shared" si="1"/>
        <v>0</v>
      </c>
      <c r="BN48" s="43">
        <f t="shared" si="15"/>
        <v>0</v>
      </c>
      <c r="BO48" s="43">
        <v>0</v>
      </c>
      <c r="BP48" s="93"/>
      <c r="BQ48" s="43">
        <f t="shared" si="16"/>
        <v>0</v>
      </c>
      <c r="BR48" s="43">
        <f t="shared" si="16"/>
        <v>0</v>
      </c>
      <c r="BS48" s="43">
        <f t="shared" si="17"/>
        <v>0</v>
      </c>
      <c r="BT48" s="43">
        <f t="shared" si="17"/>
        <v>0</v>
      </c>
      <c r="BU48" s="43">
        <f t="shared" si="40"/>
        <v>0</v>
      </c>
      <c r="BV48" s="43">
        <f t="shared" si="99"/>
        <v>0</v>
      </c>
      <c r="BW48" s="43"/>
      <c r="BX48" s="43"/>
      <c r="BY48" s="43"/>
      <c r="BZ48" s="43"/>
      <c r="CA48" s="43">
        <v>0</v>
      </c>
      <c r="CB48" s="43">
        <v>0</v>
      </c>
      <c r="CC48" s="92">
        <v>0</v>
      </c>
      <c r="CD48" s="92">
        <v>0</v>
      </c>
      <c r="CE48" s="92">
        <v>0</v>
      </c>
      <c r="CF48" s="92">
        <v>0</v>
      </c>
      <c r="CG48" s="92">
        <f t="shared" si="19"/>
        <v>0</v>
      </c>
      <c r="CH48" s="92">
        <f t="shared" si="19"/>
        <v>0</v>
      </c>
      <c r="CI48" s="43"/>
      <c r="CJ48" s="43"/>
      <c r="CK48" s="43">
        <v>0</v>
      </c>
      <c r="CL48" s="43">
        <v>0</v>
      </c>
      <c r="CM48" s="43"/>
      <c r="CN48" s="43"/>
      <c r="CO48" s="43"/>
      <c r="CP48" s="43"/>
      <c r="CQ48" s="43">
        <f t="shared" si="20"/>
        <v>0</v>
      </c>
      <c r="CR48" s="43">
        <f t="shared" si="20"/>
        <v>0</v>
      </c>
      <c r="CS48" s="43">
        <f t="shared" si="21"/>
        <v>0</v>
      </c>
      <c r="CT48" s="43">
        <f t="shared" si="21"/>
        <v>0</v>
      </c>
      <c r="CU48" s="43">
        <f t="shared" si="21"/>
        <v>0</v>
      </c>
      <c r="CV48" s="43">
        <v>0</v>
      </c>
      <c r="CW48" s="43">
        <f t="shared" si="22"/>
        <v>0</v>
      </c>
      <c r="CX48" s="43">
        <f t="shared" si="22"/>
        <v>0</v>
      </c>
      <c r="CY48" s="43"/>
      <c r="CZ48" s="43"/>
      <c r="DA48" s="43">
        <f t="shared" si="23"/>
        <v>0</v>
      </c>
      <c r="DB48" s="43">
        <f t="shared" si="23"/>
        <v>0</v>
      </c>
      <c r="DC48" s="43">
        <v>0</v>
      </c>
      <c r="DD48" s="43">
        <v>0</v>
      </c>
      <c r="DE48" s="43">
        <f t="shared" si="24"/>
        <v>0</v>
      </c>
      <c r="DF48" s="43">
        <f t="shared" si="24"/>
        <v>0</v>
      </c>
      <c r="DG48" s="43">
        <f t="shared" si="118"/>
        <v>0</v>
      </c>
      <c r="DH48" s="43">
        <f t="shared" si="118"/>
        <v>0</v>
      </c>
      <c r="DI48" s="43">
        <f>+DG48-DE48</f>
        <v>0</v>
      </c>
      <c r="DJ48" s="43">
        <f>+DH48-DF48</f>
        <v>0</v>
      </c>
      <c r="DK48" s="43"/>
      <c r="DL48" s="43"/>
      <c r="DM48" s="43">
        <f t="shared" si="25"/>
        <v>0</v>
      </c>
      <c r="DN48" s="43">
        <f t="shared" si="25"/>
        <v>0</v>
      </c>
      <c r="DO48" s="94">
        <v>0</v>
      </c>
      <c r="DP48" s="95">
        <v>0</v>
      </c>
      <c r="DQ48" s="60">
        <f t="shared" si="26"/>
        <v>0</v>
      </c>
      <c r="DR48" s="60">
        <f t="shared" si="26"/>
        <v>0</v>
      </c>
      <c r="DS48" s="60">
        <f t="shared" si="27"/>
        <v>0</v>
      </c>
      <c r="DT48" s="60">
        <f t="shared" si="27"/>
        <v>0</v>
      </c>
      <c r="DU48" s="60">
        <f t="shared" si="28"/>
        <v>0</v>
      </c>
      <c r="DV48" s="60">
        <f t="shared" si="28"/>
        <v>0</v>
      </c>
      <c r="DW48" s="60"/>
      <c r="DX48" s="60"/>
      <c r="DY48" s="60">
        <f t="shared" si="29"/>
        <v>0</v>
      </c>
      <c r="DZ48" s="60">
        <f t="shared" si="29"/>
        <v>0</v>
      </c>
      <c r="EA48" s="60"/>
      <c r="EB48" s="60"/>
      <c r="EC48" s="43">
        <f t="shared" si="30"/>
        <v>0</v>
      </c>
      <c r="ED48" s="43">
        <f t="shared" si="30"/>
        <v>0</v>
      </c>
      <c r="EE48" s="43"/>
      <c r="EF48" s="43"/>
      <c r="EG48" s="43" t="e">
        <f t="shared" si="66"/>
        <v>#DIV/0!</v>
      </c>
      <c r="EH48" s="43" t="e">
        <f t="shared" si="66"/>
        <v>#DIV/0!</v>
      </c>
      <c r="EI48" s="43">
        <f t="shared" si="32"/>
        <v>0</v>
      </c>
      <c r="EJ48" s="43">
        <f t="shared" si="32"/>
        <v>0</v>
      </c>
      <c r="EK48" s="43">
        <f t="shared" si="33"/>
        <v>0</v>
      </c>
      <c r="EL48" s="43">
        <f t="shared" si="33"/>
        <v>0</v>
      </c>
      <c r="EM48" s="43">
        <f t="shared" si="34"/>
        <v>0</v>
      </c>
      <c r="EN48" s="43">
        <f t="shared" si="34"/>
        <v>0</v>
      </c>
      <c r="EO48" s="43">
        <v>0</v>
      </c>
      <c r="EP48" s="43">
        <v>0</v>
      </c>
      <c r="EQ48" s="5"/>
      <c r="ER48" s="5"/>
      <c r="ES48" s="5"/>
      <c r="ET48" s="5"/>
      <c r="EU48" s="5">
        <f t="shared" si="88"/>
        <v>0</v>
      </c>
      <c r="EV48" s="5">
        <f t="shared" si="88"/>
        <v>0</v>
      </c>
      <c r="EW48" s="5">
        <v>0</v>
      </c>
      <c r="EX48" s="5">
        <v>0</v>
      </c>
      <c r="EY48" s="5">
        <v>0</v>
      </c>
      <c r="EZ48" s="5">
        <v>0</v>
      </c>
    </row>
    <row r="49" spans="1:160" ht="18.75" x14ac:dyDescent="0.25">
      <c r="A49" s="68"/>
      <c r="B49" s="68" t="s">
        <v>170</v>
      </c>
      <c r="C49" s="91" t="s">
        <v>122</v>
      </c>
      <c r="D49" s="67" t="s">
        <v>167</v>
      </c>
      <c r="E49" s="69" t="s">
        <v>171</v>
      </c>
      <c r="F49" s="70">
        <v>1177.46</v>
      </c>
      <c r="G49" s="70">
        <v>217.26</v>
      </c>
      <c r="H49" s="70">
        <v>1177.46</v>
      </c>
      <c r="I49" s="70">
        <v>237.26</v>
      </c>
      <c r="J49" s="71">
        <f t="shared" ref="J49:AB49" si="120">+J46+J47+J48</f>
        <v>1387.8999999999999</v>
      </c>
      <c r="K49" s="71">
        <f t="shared" si="120"/>
        <v>0</v>
      </c>
      <c r="L49" s="71">
        <f t="shared" si="120"/>
        <v>0</v>
      </c>
      <c r="M49" s="71">
        <f t="shared" si="120"/>
        <v>1387.8999999999999</v>
      </c>
      <c r="N49" s="71">
        <f t="shared" si="120"/>
        <v>71.099999999999994</v>
      </c>
      <c r="O49" s="71">
        <f t="shared" si="120"/>
        <v>0</v>
      </c>
      <c r="P49" s="71">
        <f t="shared" si="120"/>
        <v>0</v>
      </c>
      <c r="Q49" s="71">
        <f t="shared" si="120"/>
        <v>71.099999999999994</v>
      </c>
      <c r="R49" s="71">
        <f t="shared" si="120"/>
        <v>1459</v>
      </c>
      <c r="S49" s="71">
        <f t="shared" si="120"/>
        <v>30</v>
      </c>
      <c r="T49" s="71">
        <f t="shared" si="120"/>
        <v>0</v>
      </c>
      <c r="U49" s="71">
        <f t="shared" si="120"/>
        <v>0</v>
      </c>
      <c r="V49" s="71">
        <f t="shared" si="120"/>
        <v>1246.0999999999999</v>
      </c>
      <c r="W49" s="71">
        <f t="shared" si="120"/>
        <v>245.02</v>
      </c>
      <c r="X49" s="71">
        <f t="shared" si="120"/>
        <v>212.89999999999998</v>
      </c>
      <c r="Y49" s="71">
        <f t="shared" si="120"/>
        <v>-215.02</v>
      </c>
      <c r="Z49" s="71">
        <f t="shared" si="120"/>
        <v>1511.0700000000002</v>
      </c>
      <c r="AA49" s="71">
        <f t="shared" si="120"/>
        <v>117.08</v>
      </c>
      <c r="AB49" s="71">
        <f t="shared" si="120"/>
        <v>1628.15</v>
      </c>
      <c r="AC49" s="43">
        <v>0</v>
      </c>
      <c r="AD49" s="70">
        <f t="shared" ref="AD49:CP49" si="121">+AD46+AD47+AD48</f>
        <v>1628.15</v>
      </c>
      <c r="AE49" s="70">
        <f t="shared" si="121"/>
        <v>30</v>
      </c>
      <c r="AF49" s="70">
        <f t="shared" si="121"/>
        <v>27.07</v>
      </c>
      <c r="AG49" s="70">
        <f t="shared" si="121"/>
        <v>408</v>
      </c>
      <c r="AH49" s="70">
        <f t="shared" si="121"/>
        <v>8</v>
      </c>
      <c r="AI49" s="96">
        <f t="shared" si="121"/>
        <v>136</v>
      </c>
      <c r="AJ49" s="70">
        <f t="shared" si="121"/>
        <v>3</v>
      </c>
      <c r="AK49" s="70">
        <f t="shared" si="121"/>
        <v>0</v>
      </c>
      <c r="AL49" s="70">
        <f t="shared" si="121"/>
        <v>0</v>
      </c>
      <c r="AM49" s="70">
        <f t="shared" si="121"/>
        <v>407.03</v>
      </c>
      <c r="AN49" s="70">
        <f t="shared" si="121"/>
        <v>7.31</v>
      </c>
      <c r="AO49" s="70">
        <f t="shared" si="121"/>
        <v>0</v>
      </c>
      <c r="AP49" s="70">
        <f t="shared" si="121"/>
        <v>0</v>
      </c>
      <c r="AQ49" s="70">
        <f t="shared" si="121"/>
        <v>815.03</v>
      </c>
      <c r="AR49" s="70">
        <f t="shared" si="121"/>
        <v>15.309999999999999</v>
      </c>
      <c r="AS49" s="70">
        <f t="shared" si="121"/>
        <v>0</v>
      </c>
      <c r="AT49" s="70">
        <f t="shared" si="121"/>
        <v>0</v>
      </c>
      <c r="AU49" s="70">
        <f t="shared" si="121"/>
        <v>407.03</v>
      </c>
      <c r="AV49" s="70">
        <f t="shared" si="121"/>
        <v>7.5</v>
      </c>
      <c r="AW49" s="70">
        <f t="shared" si="121"/>
        <v>50</v>
      </c>
      <c r="AX49" s="70">
        <f t="shared" si="121"/>
        <v>3.19</v>
      </c>
      <c r="AY49" s="70">
        <f t="shared" si="121"/>
        <v>1408.06</v>
      </c>
      <c r="AZ49" s="70">
        <f t="shared" si="121"/>
        <v>29</v>
      </c>
      <c r="BA49" s="70">
        <f t="shared" si="121"/>
        <v>1437.06</v>
      </c>
      <c r="BB49" s="70">
        <f t="shared" si="121"/>
        <v>1597.6100000000001</v>
      </c>
      <c r="BC49" s="70">
        <f t="shared" si="121"/>
        <v>20.81</v>
      </c>
      <c r="BD49" s="70">
        <f t="shared" si="121"/>
        <v>-189.54999999999995</v>
      </c>
      <c r="BE49" s="70">
        <f t="shared" si="121"/>
        <v>8.1900000000000013</v>
      </c>
      <c r="BF49" s="70">
        <f t="shared" si="121"/>
        <v>319.52</v>
      </c>
      <c r="BG49" s="96">
        <f t="shared" si="121"/>
        <v>4.16</v>
      </c>
      <c r="BH49" s="96">
        <f t="shared" si="121"/>
        <v>217.84000000000003</v>
      </c>
      <c r="BI49" s="96">
        <f t="shared" si="121"/>
        <v>5.5</v>
      </c>
      <c r="BJ49" s="96">
        <f t="shared" si="121"/>
        <v>0</v>
      </c>
      <c r="BK49" s="96">
        <f t="shared" si="121"/>
        <v>0</v>
      </c>
      <c r="BL49" s="96">
        <f t="shared" si="121"/>
        <v>1625.9</v>
      </c>
      <c r="BM49" s="96">
        <f t="shared" si="121"/>
        <v>34.5</v>
      </c>
      <c r="BN49" s="96">
        <f t="shared" si="121"/>
        <v>1660.4</v>
      </c>
      <c r="BO49" s="96">
        <f t="shared" si="121"/>
        <v>1676.58</v>
      </c>
      <c r="BP49" s="96">
        <f t="shared" si="121"/>
        <v>21.42</v>
      </c>
      <c r="BQ49" s="70">
        <f t="shared" si="121"/>
        <v>-50.67999999999995</v>
      </c>
      <c r="BR49" s="70">
        <f t="shared" si="121"/>
        <v>13.079999999999998</v>
      </c>
      <c r="BS49" s="70">
        <f t="shared" si="121"/>
        <v>152.42000000000002</v>
      </c>
      <c r="BT49" s="70">
        <f t="shared" si="121"/>
        <v>1.95</v>
      </c>
      <c r="BU49" s="70">
        <f t="shared" si="121"/>
        <v>203.09999999999997</v>
      </c>
      <c r="BV49" s="70">
        <f t="shared" si="121"/>
        <v>0</v>
      </c>
      <c r="BW49" s="70">
        <f t="shared" si="121"/>
        <v>24.68</v>
      </c>
      <c r="BX49" s="70">
        <f t="shared" si="121"/>
        <v>0</v>
      </c>
      <c r="BY49" s="70">
        <f t="shared" si="121"/>
        <v>0</v>
      </c>
      <c r="BZ49" s="70">
        <f t="shared" si="121"/>
        <v>0</v>
      </c>
      <c r="CA49" s="70">
        <f t="shared" si="121"/>
        <v>1812</v>
      </c>
      <c r="CB49" s="70">
        <f t="shared" si="121"/>
        <v>34.5</v>
      </c>
      <c r="CC49" s="70">
        <f t="shared" si="121"/>
        <v>2039.05</v>
      </c>
      <c r="CD49" s="70">
        <f t="shared" si="121"/>
        <v>39.68</v>
      </c>
      <c r="CE49" s="70">
        <f t="shared" si="121"/>
        <v>170</v>
      </c>
      <c r="CF49" s="70">
        <f t="shared" si="121"/>
        <v>3</v>
      </c>
      <c r="CG49" s="70">
        <f t="shared" si="121"/>
        <v>453</v>
      </c>
      <c r="CH49" s="96">
        <f t="shared" si="121"/>
        <v>8.6300000000000008</v>
      </c>
      <c r="CI49" s="70">
        <f t="shared" si="121"/>
        <v>0</v>
      </c>
      <c r="CJ49" s="70">
        <f t="shared" si="121"/>
        <v>0</v>
      </c>
      <c r="CK49" s="70">
        <f t="shared" si="121"/>
        <v>470</v>
      </c>
      <c r="CL49" s="70">
        <f t="shared" si="121"/>
        <v>50</v>
      </c>
      <c r="CM49" s="70">
        <f t="shared" si="121"/>
        <v>0</v>
      </c>
      <c r="CN49" s="70">
        <f t="shared" si="121"/>
        <v>60</v>
      </c>
      <c r="CO49" s="70">
        <f t="shared" si="121"/>
        <v>2023.75</v>
      </c>
      <c r="CP49" s="70">
        <f t="shared" si="121"/>
        <v>200</v>
      </c>
      <c r="CQ49" s="70">
        <f t="shared" ref="CQ49:FB49" si="122">+CQ46+CQ47+CQ48</f>
        <v>1880</v>
      </c>
      <c r="CR49" s="70">
        <f t="shared" si="122"/>
        <v>200</v>
      </c>
      <c r="CS49" s="70">
        <f t="shared" si="122"/>
        <v>1755.75</v>
      </c>
      <c r="CT49" s="70">
        <f t="shared" si="122"/>
        <v>200</v>
      </c>
      <c r="CU49" s="70">
        <f t="shared" si="122"/>
        <v>1755.75</v>
      </c>
      <c r="CV49" s="70">
        <f t="shared" si="122"/>
        <v>300</v>
      </c>
      <c r="CW49" s="70">
        <f t="shared" si="122"/>
        <v>438.94</v>
      </c>
      <c r="CX49" s="70">
        <f t="shared" si="122"/>
        <v>60</v>
      </c>
      <c r="CY49" s="70">
        <f t="shared" si="122"/>
        <v>0</v>
      </c>
      <c r="CZ49" s="70">
        <f t="shared" si="122"/>
        <v>120</v>
      </c>
      <c r="DA49" s="70">
        <f t="shared" si="122"/>
        <v>1078.94</v>
      </c>
      <c r="DB49" s="70">
        <f t="shared" si="122"/>
        <v>293</v>
      </c>
      <c r="DC49" s="70">
        <f t="shared" si="122"/>
        <v>1062.3200000000002</v>
      </c>
      <c r="DD49" s="70">
        <f t="shared" si="122"/>
        <v>224.97</v>
      </c>
      <c r="DE49" s="70">
        <f t="shared" si="122"/>
        <v>16.620000000000005</v>
      </c>
      <c r="DF49" s="70">
        <f t="shared" si="122"/>
        <v>68.03</v>
      </c>
      <c r="DG49" s="70">
        <f t="shared" si="122"/>
        <v>438.94</v>
      </c>
      <c r="DH49" s="70">
        <f t="shared" si="122"/>
        <v>73.25</v>
      </c>
      <c r="DI49" s="70">
        <f t="shared" si="122"/>
        <v>422.32</v>
      </c>
      <c r="DJ49" s="70">
        <f t="shared" si="122"/>
        <v>0</v>
      </c>
      <c r="DK49" s="70">
        <f t="shared" si="122"/>
        <v>0</v>
      </c>
      <c r="DL49" s="70">
        <f t="shared" si="122"/>
        <v>0</v>
      </c>
      <c r="DM49" s="70">
        <f t="shared" si="122"/>
        <v>1501.26</v>
      </c>
      <c r="DN49" s="70">
        <f t="shared" si="122"/>
        <v>293</v>
      </c>
      <c r="DO49" s="97">
        <f t="shared" si="122"/>
        <v>1497.94</v>
      </c>
      <c r="DP49" s="98">
        <f t="shared" si="122"/>
        <v>290.55</v>
      </c>
      <c r="DQ49" s="98">
        <f t="shared" si="122"/>
        <v>3.32</v>
      </c>
      <c r="DR49" s="98">
        <f t="shared" si="122"/>
        <v>2.4500000000000002</v>
      </c>
      <c r="DS49" s="98">
        <f t="shared" si="122"/>
        <v>149.79400000000001</v>
      </c>
      <c r="DT49" s="98">
        <f t="shared" si="122"/>
        <v>29.055</v>
      </c>
      <c r="DU49" s="98">
        <f t="shared" si="122"/>
        <v>146.47400000000002</v>
      </c>
      <c r="DV49" s="98">
        <f t="shared" si="122"/>
        <v>26.605</v>
      </c>
      <c r="DW49" s="98">
        <f t="shared" si="122"/>
        <v>0</v>
      </c>
      <c r="DX49" s="98">
        <f t="shared" si="122"/>
        <v>0</v>
      </c>
      <c r="DY49" s="98">
        <f t="shared" si="122"/>
        <v>146.47</v>
      </c>
      <c r="DZ49" s="98">
        <f t="shared" si="122"/>
        <v>0</v>
      </c>
      <c r="EA49" s="98">
        <f t="shared" si="122"/>
        <v>0</v>
      </c>
      <c r="EB49" s="134">
        <f t="shared" si="122"/>
        <v>0</v>
      </c>
      <c r="EC49" s="140">
        <f t="shared" si="122"/>
        <v>1647.73</v>
      </c>
      <c r="ED49" s="140">
        <f t="shared" si="122"/>
        <v>293</v>
      </c>
      <c r="EE49" s="140">
        <f t="shared" si="122"/>
        <v>1573.73</v>
      </c>
      <c r="EF49" s="140">
        <f t="shared" si="122"/>
        <v>291.32</v>
      </c>
      <c r="EG49" s="140" t="e">
        <f t="shared" si="122"/>
        <v>#DIV/0!</v>
      </c>
      <c r="EH49" s="140" t="e">
        <f t="shared" si="122"/>
        <v>#DIV/0!</v>
      </c>
      <c r="EI49" s="140">
        <f t="shared" si="122"/>
        <v>74</v>
      </c>
      <c r="EJ49" s="140">
        <f t="shared" si="122"/>
        <v>1.68</v>
      </c>
      <c r="EK49" s="140">
        <f t="shared" si="122"/>
        <v>143.06</v>
      </c>
      <c r="EL49" s="140">
        <f t="shared" si="122"/>
        <v>26.48</v>
      </c>
      <c r="EM49" s="140">
        <f t="shared" si="122"/>
        <v>69.06</v>
      </c>
      <c r="EN49" s="140">
        <f t="shared" si="122"/>
        <v>24.8</v>
      </c>
      <c r="EO49" s="140">
        <f t="shared" si="122"/>
        <v>73</v>
      </c>
      <c r="EP49" s="140">
        <f t="shared" si="122"/>
        <v>0</v>
      </c>
      <c r="EQ49" s="136">
        <f t="shared" si="122"/>
        <v>0</v>
      </c>
      <c r="ER49" s="47">
        <f t="shared" si="122"/>
        <v>0</v>
      </c>
      <c r="ES49" s="47">
        <f t="shared" si="122"/>
        <v>0</v>
      </c>
      <c r="ET49" s="47">
        <f t="shared" si="122"/>
        <v>0</v>
      </c>
      <c r="EU49" s="5">
        <f t="shared" si="88"/>
        <v>135.52999999999997</v>
      </c>
      <c r="EV49" s="5">
        <f t="shared" si="88"/>
        <v>0</v>
      </c>
      <c r="EW49" s="46">
        <f t="shared" si="122"/>
        <v>1856.26</v>
      </c>
      <c r="EX49" s="46">
        <f t="shared" si="122"/>
        <v>293</v>
      </c>
      <c r="EY49" s="46">
        <f t="shared" si="122"/>
        <v>2487</v>
      </c>
      <c r="EZ49" s="46">
        <f t="shared" si="122"/>
        <v>25</v>
      </c>
      <c r="FA49" s="46">
        <f t="shared" si="122"/>
        <v>0</v>
      </c>
      <c r="FB49" s="46">
        <f t="shared" si="122"/>
        <v>0</v>
      </c>
    </row>
    <row r="50" spans="1:160" ht="18.75" x14ac:dyDescent="0.25">
      <c r="A50" s="37">
        <v>35</v>
      </c>
      <c r="B50" s="37"/>
      <c r="C50" s="91" t="s">
        <v>172</v>
      </c>
      <c r="D50" s="38" t="s">
        <v>173</v>
      </c>
      <c r="E50" s="39"/>
      <c r="F50" s="40">
        <v>855.07999999999993</v>
      </c>
      <c r="G50" s="40">
        <v>309.65999999999997</v>
      </c>
      <c r="H50" s="40">
        <v>855.07999999999993</v>
      </c>
      <c r="I50" s="40">
        <v>309.65999999999997</v>
      </c>
      <c r="J50" s="41">
        <v>890</v>
      </c>
      <c r="K50" s="41">
        <v>90</v>
      </c>
      <c r="L50" s="41">
        <v>0</v>
      </c>
      <c r="M50" s="41">
        <f>J50+K50+L50</f>
        <v>980</v>
      </c>
      <c r="N50" s="41">
        <v>0</v>
      </c>
      <c r="O50" s="41">
        <v>0</v>
      </c>
      <c r="P50" s="41">
        <v>0</v>
      </c>
      <c r="Q50" s="41">
        <f>N50+O50+P50</f>
        <v>0</v>
      </c>
      <c r="R50" s="41">
        <f t="shared" si="106"/>
        <v>980</v>
      </c>
      <c r="S50" s="41">
        <v>250</v>
      </c>
      <c r="T50" s="92"/>
      <c r="U50" s="92"/>
      <c r="V50" s="40">
        <f t="shared" ref="V50:V51" si="123">ROUND(H50*1.0583,2)</f>
        <v>904.93</v>
      </c>
      <c r="W50" s="40">
        <f t="shared" ref="W50:W51" si="124">ROUND(I50*1.0327,2)</f>
        <v>319.79000000000002</v>
      </c>
      <c r="X50" s="43">
        <f t="shared" si="2"/>
        <v>75.07000000000005</v>
      </c>
      <c r="Y50" s="43">
        <f t="shared" si="2"/>
        <v>-69.79000000000002</v>
      </c>
      <c r="Z50" s="43">
        <v>904.93</v>
      </c>
      <c r="AA50" s="43"/>
      <c r="AB50" s="43">
        <f t="shared" si="3"/>
        <v>904.93</v>
      </c>
      <c r="AC50" s="43">
        <f t="shared" si="4"/>
        <v>0</v>
      </c>
      <c r="AD50" s="43">
        <f t="shared" ref="AD50:AE51" si="125">IF(X50&gt;0,V50,R50)</f>
        <v>904.93</v>
      </c>
      <c r="AE50" s="43">
        <f t="shared" si="125"/>
        <v>250</v>
      </c>
      <c r="AF50" s="43">
        <f t="shared" si="5"/>
        <v>225.55</v>
      </c>
      <c r="AG50" s="43">
        <f t="shared" si="6"/>
        <v>226</v>
      </c>
      <c r="AH50" s="43">
        <f t="shared" si="6"/>
        <v>63</v>
      </c>
      <c r="AI50" s="93">
        <f t="shared" si="7"/>
        <v>75</v>
      </c>
      <c r="AJ50" s="43">
        <f t="shared" si="7"/>
        <v>21</v>
      </c>
      <c r="AK50" s="43"/>
      <c r="AL50" s="43"/>
      <c r="AM50" s="43">
        <f t="shared" si="8"/>
        <v>226.23</v>
      </c>
      <c r="AN50" s="43">
        <f t="shared" si="9"/>
        <v>60.88</v>
      </c>
      <c r="AO50" s="43"/>
      <c r="AP50" s="43"/>
      <c r="AQ50" s="43">
        <f t="shared" si="10"/>
        <v>452.23</v>
      </c>
      <c r="AR50" s="43">
        <f t="shared" si="10"/>
        <v>123.88</v>
      </c>
      <c r="AS50" s="43"/>
      <c r="AT50" s="43"/>
      <c r="AU50" s="43">
        <f>ROUND(AD50*25%,2)-49.54</f>
        <v>176.69</v>
      </c>
      <c r="AV50" s="43">
        <f>ROUND(AE50*25%,2)-17.45</f>
        <v>45.05</v>
      </c>
      <c r="AW50" s="43"/>
      <c r="AX50" s="43"/>
      <c r="AY50" s="43">
        <f t="shared" si="11"/>
        <v>703.92000000000007</v>
      </c>
      <c r="AZ50" s="43">
        <f t="shared" si="11"/>
        <v>189.93</v>
      </c>
      <c r="BA50" s="43">
        <f t="shared" si="12"/>
        <v>893.85000000000014</v>
      </c>
      <c r="BB50" s="60">
        <v>585.1</v>
      </c>
      <c r="BC50" s="60">
        <v>174.87</v>
      </c>
      <c r="BD50" s="60">
        <f t="shared" si="13"/>
        <v>118.82000000000005</v>
      </c>
      <c r="BE50" s="60">
        <f t="shared" si="13"/>
        <v>15.060000000000002</v>
      </c>
      <c r="BF50" s="60">
        <f t="shared" si="14"/>
        <v>117.02</v>
      </c>
      <c r="BG50" s="60">
        <f t="shared" si="14"/>
        <v>34.97</v>
      </c>
      <c r="BH50" s="43">
        <v>11.63</v>
      </c>
      <c r="BI50" s="43">
        <v>4.38</v>
      </c>
      <c r="BJ50" s="43"/>
      <c r="BK50" s="43"/>
      <c r="BL50" s="43">
        <f t="shared" si="1"/>
        <v>715.55000000000007</v>
      </c>
      <c r="BM50" s="43">
        <f t="shared" si="1"/>
        <v>194.31</v>
      </c>
      <c r="BN50" s="43">
        <f t="shared" si="15"/>
        <v>909.86000000000013</v>
      </c>
      <c r="BO50" s="43">
        <v>644.67999999999995</v>
      </c>
      <c r="BP50" s="93">
        <v>174.87</v>
      </c>
      <c r="BQ50" s="43">
        <f t="shared" si="16"/>
        <v>70.870000000000118</v>
      </c>
      <c r="BR50" s="43">
        <f t="shared" si="16"/>
        <v>19.439999999999998</v>
      </c>
      <c r="BS50" s="43">
        <f t="shared" si="17"/>
        <v>58.61</v>
      </c>
      <c r="BT50" s="43">
        <f t="shared" si="17"/>
        <v>15.9</v>
      </c>
      <c r="BU50" s="43">
        <v>11.62</v>
      </c>
      <c r="BV50" s="43">
        <v>0</v>
      </c>
      <c r="BW50" s="43"/>
      <c r="BX50" s="43"/>
      <c r="BY50" s="43"/>
      <c r="BZ50" s="43"/>
      <c r="CA50" s="43">
        <v>727.17000000000007</v>
      </c>
      <c r="CB50" s="43">
        <v>194.31</v>
      </c>
      <c r="CC50" s="92">
        <v>799.89</v>
      </c>
      <c r="CD50" s="92">
        <v>223.46</v>
      </c>
      <c r="CE50" s="92">
        <v>67</v>
      </c>
      <c r="CF50" s="92">
        <v>19</v>
      </c>
      <c r="CG50" s="92">
        <f t="shared" si="19"/>
        <v>181.79</v>
      </c>
      <c r="CH50" s="92">
        <f t="shared" si="19"/>
        <v>48.58</v>
      </c>
      <c r="CI50" s="43"/>
      <c r="CJ50" s="43"/>
      <c r="CK50" s="43">
        <v>175</v>
      </c>
      <c r="CL50" s="72">
        <f>83.32-20</f>
        <v>63.319999999999993</v>
      </c>
      <c r="CM50" s="72"/>
      <c r="CN50" s="72">
        <v>21</v>
      </c>
      <c r="CO50" s="43">
        <v>741</v>
      </c>
      <c r="CP50" s="43">
        <v>150</v>
      </c>
      <c r="CQ50" s="43">
        <f t="shared" si="20"/>
        <v>700</v>
      </c>
      <c r="CR50" s="43">
        <f t="shared" si="20"/>
        <v>253.28</v>
      </c>
      <c r="CS50" s="43">
        <f t="shared" si="21"/>
        <v>700</v>
      </c>
      <c r="CT50" s="43">
        <f t="shared" si="21"/>
        <v>150</v>
      </c>
      <c r="CU50" s="43">
        <v>745</v>
      </c>
      <c r="CV50" s="43">
        <v>152</v>
      </c>
      <c r="CW50" s="43">
        <f t="shared" si="22"/>
        <v>186.25</v>
      </c>
      <c r="CX50" s="43">
        <f t="shared" si="22"/>
        <v>38</v>
      </c>
      <c r="CY50" s="43"/>
      <c r="CZ50" s="43"/>
      <c r="DA50" s="43">
        <f t="shared" si="23"/>
        <v>428.25</v>
      </c>
      <c r="DB50" s="43">
        <f t="shared" si="23"/>
        <v>141.32</v>
      </c>
      <c r="DC50" s="43">
        <v>407.87</v>
      </c>
      <c r="DD50" s="43">
        <v>102.52</v>
      </c>
      <c r="DE50" s="43">
        <f t="shared" si="24"/>
        <v>20.379999999999995</v>
      </c>
      <c r="DF50" s="43">
        <f t="shared" si="24"/>
        <v>38.799999999999997</v>
      </c>
      <c r="DG50" s="43">
        <f>ROUND(0.25*(MIN(CU50,EW50)),2)</f>
        <v>178.25</v>
      </c>
      <c r="DH50" s="43">
        <f>ROUND(0.25*(MIN(CV50,EX50)),2)</f>
        <v>38</v>
      </c>
      <c r="DI50" s="43">
        <f>+DG50-DE50</f>
        <v>157.87</v>
      </c>
      <c r="DJ50" s="43">
        <f>+DH50-DF50+0.8</f>
        <v>2.886579864025407E-15</v>
      </c>
      <c r="DK50" s="43">
        <v>12.4</v>
      </c>
      <c r="DL50" s="43"/>
      <c r="DM50" s="43">
        <f t="shared" si="25"/>
        <v>598.52</v>
      </c>
      <c r="DN50" s="43">
        <f t="shared" si="25"/>
        <v>141.32</v>
      </c>
      <c r="DO50" s="94">
        <v>593.44000000000005</v>
      </c>
      <c r="DP50" s="95">
        <v>102.52</v>
      </c>
      <c r="DQ50" s="60">
        <f t="shared" si="26"/>
        <v>5.08</v>
      </c>
      <c r="DR50" s="60">
        <f t="shared" si="26"/>
        <v>38.799999999999997</v>
      </c>
      <c r="DS50" s="60">
        <f t="shared" si="27"/>
        <v>59.344000000000008</v>
      </c>
      <c r="DT50" s="60">
        <f t="shared" si="27"/>
        <v>10.251999999999999</v>
      </c>
      <c r="DU50" s="60">
        <f t="shared" si="28"/>
        <v>54.26400000000001</v>
      </c>
      <c r="DV50" s="60">
        <f t="shared" si="28"/>
        <v>-28.547999999999998</v>
      </c>
      <c r="DW50" s="60">
        <v>0.18</v>
      </c>
      <c r="DX50" s="60"/>
      <c r="DY50" s="60">
        <f t="shared" si="29"/>
        <v>54.44</v>
      </c>
      <c r="DZ50" s="60">
        <v>0</v>
      </c>
      <c r="EA50" s="60">
        <v>22.15</v>
      </c>
      <c r="EB50" s="60">
        <v>15.1</v>
      </c>
      <c r="EC50" s="43">
        <f t="shared" si="30"/>
        <v>675.11</v>
      </c>
      <c r="ED50" s="43">
        <f t="shared" si="30"/>
        <v>156.41999999999999</v>
      </c>
      <c r="EE50" s="43">
        <v>652.5</v>
      </c>
      <c r="EF50" s="43">
        <v>155.91999999999999</v>
      </c>
      <c r="EG50" s="43">
        <f t="shared" si="66"/>
        <v>96.65</v>
      </c>
      <c r="EH50" s="43">
        <f t="shared" si="66"/>
        <v>99.68</v>
      </c>
      <c r="EI50" s="43">
        <f t="shared" si="32"/>
        <v>22.61</v>
      </c>
      <c r="EJ50" s="43">
        <f t="shared" si="32"/>
        <v>0.5</v>
      </c>
      <c r="EK50" s="43">
        <f t="shared" si="33"/>
        <v>59.32</v>
      </c>
      <c r="EL50" s="43">
        <f t="shared" si="33"/>
        <v>14.17</v>
      </c>
      <c r="EM50" s="43">
        <f t="shared" si="34"/>
        <v>36.71</v>
      </c>
      <c r="EN50" s="43">
        <f t="shared" si="34"/>
        <v>13.67</v>
      </c>
      <c r="EO50" s="43">
        <v>66</v>
      </c>
      <c r="EP50" s="43">
        <v>0</v>
      </c>
      <c r="EQ50" s="5"/>
      <c r="ER50" s="5"/>
      <c r="ES50" s="5"/>
      <c r="ET50" s="48">
        <v>15.1</v>
      </c>
      <c r="EU50" s="5">
        <f t="shared" si="88"/>
        <v>-28.110000000000014</v>
      </c>
      <c r="EV50" s="5">
        <f t="shared" si="88"/>
        <v>11.099999999999994</v>
      </c>
      <c r="EW50" s="5">
        <v>713</v>
      </c>
      <c r="EX50" s="5">
        <v>167.51999999999998</v>
      </c>
      <c r="EY50" s="5">
        <v>820</v>
      </c>
      <c r="EZ50" s="5">
        <v>70</v>
      </c>
    </row>
    <row r="51" spans="1:160" ht="18.75" x14ac:dyDescent="0.25">
      <c r="A51" s="37">
        <v>36</v>
      </c>
      <c r="B51" s="37"/>
      <c r="C51" s="91" t="s">
        <v>172</v>
      </c>
      <c r="D51" s="38" t="s">
        <v>174</v>
      </c>
      <c r="E51" s="39"/>
      <c r="F51" s="40">
        <v>819.7299999999999</v>
      </c>
      <c r="G51" s="40">
        <v>0</v>
      </c>
      <c r="H51" s="40">
        <v>819.7299999999999</v>
      </c>
      <c r="I51" s="40">
        <v>0</v>
      </c>
      <c r="J51" s="41">
        <v>1103.0999999999999</v>
      </c>
      <c r="K51" s="41">
        <v>0</v>
      </c>
      <c r="L51" s="41">
        <v>0</v>
      </c>
      <c r="M51" s="41">
        <f>J51+K51+L51</f>
        <v>1103.0999999999999</v>
      </c>
      <c r="N51" s="41">
        <v>0</v>
      </c>
      <c r="O51" s="41">
        <v>0</v>
      </c>
      <c r="P51" s="41">
        <v>0</v>
      </c>
      <c r="Q51" s="41">
        <f>N51+O51+P51</f>
        <v>0</v>
      </c>
      <c r="R51" s="41">
        <f t="shared" si="106"/>
        <v>1103.0999999999999</v>
      </c>
      <c r="S51" s="41">
        <v>0</v>
      </c>
      <c r="T51" s="92"/>
      <c r="U51" s="92"/>
      <c r="V51" s="40">
        <f t="shared" si="123"/>
        <v>867.52</v>
      </c>
      <c r="W51" s="40">
        <f t="shared" si="124"/>
        <v>0</v>
      </c>
      <c r="X51" s="43">
        <f t="shared" si="2"/>
        <v>235.57999999999993</v>
      </c>
      <c r="Y51" s="43">
        <f t="shared" si="2"/>
        <v>0</v>
      </c>
      <c r="Z51" s="43">
        <v>867.52</v>
      </c>
      <c r="AA51" s="43"/>
      <c r="AB51" s="43">
        <f t="shared" si="3"/>
        <v>867.52</v>
      </c>
      <c r="AC51" s="43">
        <f t="shared" si="4"/>
        <v>0</v>
      </c>
      <c r="AD51" s="43">
        <f t="shared" si="125"/>
        <v>867.52</v>
      </c>
      <c r="AE51" s="43">
        <f t="shared" si="125"/>
        <v>0</v>
      </c>
      <c r="AF51" s="43">
        <f t="shared" si="5"/>
        <v>0</v>
      </c>
      <c r="AG51" s="43">
        <f t="shared" si="6"/>
        <v>217</v>
      </c>
      <c r="AH51" s="43">
        <f t="shared" si="6"/>
        <v>0</v>
      </c>
      <c r="AI51" s="93">
        <f t="shared" si="7"/>
        <v>72</v>
      </c>
      <c r="AJ51" s="43">
        <f t="shared" si="7"/>
        <v>0</v>
      </c>
      <c r="AK51" s="43"/>
      <c r="AL51" s="43"/>
      <c r="AM51" s="43">
        <f t="shared" si="8"/>
        <v>216.88</v>
      </c>
      <c r="AN51" s="43">
        <f t="shared" si="9"/>
        <v>0</v>
      </c>
      <c r="AO51" s="43"/>
      <c r="AP51" s="43"/>
      <c r="AQ51" s="43">
        <f t="shared" si="10"/>
        <v>433.88</v>
      </c>
      <c r="AR51" s="43">
        <f t="shared" si="10"/>
        <v>0</v>
      </c>
      <c r="AS51" s="43"/>
      <c r="AT51" s="43"/>
      <c r="AU51" s="43">
        <f t="shared" si="0"/>
        <v>216.88</v>
      </c>
      <c r="AV51" s="43">
        <f>ROUND(AE51*25%,2)</f>
        <v>0</v>
      </c>
      <c r="AW51" s="43"/>
      <c r="AX51" s="43"/>
      <c r="AY51" s="43">
        <f t="shared" si="11"/>
        <v>722.76</v>
      </c>
      <c r="AZ51" s="43">
        <f t="shared" si="11"/>
        <v>0</v>
      </c>
      <c r="BA51" s="43">
        <f t="shared" si="12"/>
        <v>722.76</v>
      </c>
      <c r="BB51" s="60">
        <v>506.22</v>
      </c>
      <c r="BC51" s="60"/>
      <c r="BD51" s="60">
        <f t="shared" si="13"/>
        <v>216.53999999999996</v>
      </c>
      <c r="BE51" s="60">
        <f t="shared" si="13"/>
        <v>0</v>
      </c>
      <c r="BF51" s="60">
        <f t="shared" si="14"/>
        <v>101.24</v>
      </c>
      <c r="BG51" s="60">
        <f t="shared" si="14"/>
        <v>0</v>
      </c>
      <c r="BH51" s="43">
        <v>0</v>
      </c>
      <c r="BI51" s="43">
        <v>0</v>
      </c>
      <c r="BJ51" s="43"/>
      <c r="BK51" s="43"/>
      <c r="BL51" s="43">
        <f t="shared" si="1"/>
        <v>722.76</v>
      </c>
      <c r="BM51" s="43">
        <f t="shared" si="1"/>
        <v>0</v>
      </c>
      <c r="BN51" s="43">
        <f t="shared" si="15"/>
        <v>722.76</v>
      </c>
      <c r="BO51" s="43">
        <v>567.02</v>
      </c>
      <c r="BP51" s="93"/>
      <c r="BQ51" s="43">
        <f t="shared" si="16"/>
        <v>155.74</v>
      </c>
      <c r="BR51" s="43">
        <f t="shared" si="16"/>
        <v>0</v>
      </c>
      <c r="BS51" s="43">
        <f t="shared" si="17"/>
        <v>51.55</v>
      </c>
      <c r="BT51" s="43">
        <f t="shared" si="17"/>
        <v>0</v>
      </c>
      <c r="BU51" s="43">
        <v>0</v>
      </c>
      <c r="BV51" s="43">
        <f t="shared" si="99"/>
        <v>0</v>
      </c>
      <c r="BW51" s="43"/>
      <c r="BX51" s="43"/>
      <c r="BY51" s="43"/>
      <c r="BZ51" s="43"/>
      <c r="CA51" s="43">
        <v>722.76</v>
      </c>
      <c r="CB51" s="43">
        <v>0</v>
      </c>
      <c r="CC51" s="92">
        <v>795.04</v>
      </c>
      <c r="CD51" s="92">
        <v>0</v>
      </c>
      <c r="CE51" s="92">
        <v>66</v>
      </c>
      <c r="CF51" s="92">
        <v>0</v>
      </c>
      <c r="CG51" s="92">
        <f t="shared" si="19"/>
        <v>180.69</v>
      </c>
      <c r="CH51" s="92">
        <f t="shared" si="19"/>
        <v>0</v>
      </c>
      <c r="CI51" s="43"/>
      <c r="CJ51" s="43"/>
      <c r="CK51" s="72">
        <f>210-50</f>
        <v>160</v>
      </c>
      <c r="CL51" s="43"/>
      <c r="CM51" s="43"/>
      <c r="CN51" s="43"/>
      <c r="CO51" s="43">
        <v>950</v>
      </c>
      <c r="CP51" s="43"/>
      <c r="CQ51" s="43">
        <f t="shared" si="20"/>
        <v>640</v>
      </c>
      <c r="CR51" s="43">
        <f t="shared" si="20"/>
        <v>0</v>
      </c>
      <c r="CS51" s="43">
        <f t="shared" si="21"/>
        <v>640</v>
      </c>
      <c r="CT51" s="43">
        <f t="shared" si="21"/>
        <v>0</v>
      </c>
      <c r="CU51" s="43">
        <v>950</v>
      </c>
      <c r="CV51" s="43">
        <v>0</v>
      </c>
      <c r="CW51" s="43">
        <f t="shared" si="22"/>
        <v>237.5</v>
      </c>
      <c r="CX51" s="43">
        <f t="shared" si="22"/>
        <v>0</v>
      </c>
      <c r="CY51" s="43"/>
      <c r="CZ51" s="43"/>
      <c r="DA51" s="43">
        <f t="shared" si="23"/>
        <v>463.5</v>
      </c>
      <c r="DB51" s="43">
        <f t="shared" si="23"/>
        <v>0</v>
      </c>
      <c r="DC51" s="43">
        <v>335.57</v>
      </c>
      <c r="DD51" s="43">
        <v>0</v>
      </c>
      <c r="DE51" s="43">
        <f t="shared" si="24"/>
        <v>127.93</v>
      </c>
      <c r="DF51" s="43">
        <f t="shared" si="24"/>
        <v>0</v>
      </c>
      <c r="DG51" s="43">
        <f>ROUND(0.25*(MIN(CU51,EW51)),2)</f>
        <v>207.21</v>
      </c>
      <c r="DH51" s="43">
        <f>ROUND(0.25*(MIN(CV51,EX51)),2)</f>
        <v>0</v>
      </c>
      <c r="DI51" s="43">
        <f>+DG51-DE51</f>
        <v>79.28</v>
      </c>
      <c r="DJ51" s="43">
        <f>+DH51-DF51</f>
        <v>0</v>
      </c>
      <c r="DK51" s="43">
        <v>22</v>
      </c>
      <c r="DL51" s="43"/>
      <c r="DM51" s="43">
        <f t="shared" si="25"/>
        <v>564.78</v>
      </c>
      <c r="DN51" s="43">
        <f t="shared" si="25"/>
        <v>0</v>
      </c>
      <c r="DO51" s="108">
        <v>493.65</v>
      </c>
      <c r="DP51" s="95">
        <v>0</v>
      </c>
      <c r="DQ51" s="60">
        <f t="shared" si="26"/>
        <v>71.13</v>
      </c>
      <c r="DR51" s="60">
        <f t="shared" si="26"/>
        <v>0</v>
      </c>
      <c r="DS51" s="60">
        <f t="shared" si="27"/>
        <v>49.364999999999995</v>
      </c>
      <c r="DT51" s="60">
        <f t="shared" si="27"/>
        <v>0</v>
      </c>
      <c r="DU51" s="60">
        <f t="shared" si="28"/>
        <v>-21.765000000000001</v>
      </c>
      <c r="DV51" s="60">
        <f t="shared" si="28"/>
        <v>0</v>
      </c>
      <c r="DW51" s="60"/>
      <c r="DX51" s="60"/>
      <c r="DY51" s="60">
        <f t="shared" si="29"/>
        <v>-21.77</v>
      </c>
      <c r="DZ51" s="60">
        <f t="shared" si="29"/>
        <v>0</v>
      </c>
      <c r="EA51" s="60">
        <v>61.06</v>
      </c>
      <c r="EB51" s="60"/>
      <c r="EC51" s="43">
        <f t="shared" si="30"/>
        <v>604.06999999999994</v>
      </c>
      <c r="ED51" s="43">
        <f t="shared" si="30"/>
        <v>0</v>
      </c>
      <c r="EE51" s="43">
        <v>625.84</v>
      </c>
      <c r="EF51" s="43"/>
      <c r="EG51" s="43">
        <f t="shared" si="66"/>
        <v>103.6</v>
      </c>
      <c r="EH51" s="43" t="e">
        <f t="shared" si="66"/>
        <v>#DIV/0!</v>
      </c>
      <c r="EI51" s="43">
        <f t="shared" si="32"/>
        <v>-21.77</v>
      </c>
      <c r="EJ51" s="43">
        <f t="shared" si="32"/>
        <v>0</v>
      </c>
      <c r="EK51" s="43">
        <f t="shared" si="33"/>
        <v>56.89</v>
      </c>
      <c r="EL51" s="43">
        <f t="shared" si="33"/>
        <v>0</v>
      </c>
      <c r="EM51" s="43">
        <f t="shared" si="34"/>
        <v>78.66</v>
      </c>
      <c r="EN51" s="43">
        <f t="shared" si="34"/>
        <v>0</v>
      </c>
      <c r="EO51" s="43">
        <v>68.180000000000007</v>
      </c>
      <c r="EP51" s="43">
        <v>0</v>
      </c>
      <c r="EQ51" s="5"/>
      <c r="ER51" s="5"/>
      <c r="ES51" s="5"/>
      <c r="ET51" s="5"/>
      <c r="EU51" s="5">
        <f t="shared" si="88"/>
        <v>156.57999999999998</v>
      </c>
      <c r="EV51" s="5">
        <f t="shared" si="88"/>
        <v>0</v>
      </c>
      <c r="EW51" s="5">
        <v>828.82999999999993</v>
      </c>
      <c r="EX51" s="5">
        <v>0</v>
      </c>
      <c r="EY51" s="5">
        <v>1045</v>
      </c>
      <c r="EZ51" s="5">
        <v>0</v>
      </c>
    </row>
    <row r="52" spans="1:160" ht="18.75" x14ac:dyDescent="0.25">
      <c r="A52" s="68"/>
      <c r="B52" s="68" t="s">
        <v>175</v>
      </c>
      <c r="C52" s="91" t="s">
        <v>172</v>
      </c>
      <c r="D52" s="67" t="s">
        <v>173</v>
      </c>
      <c r="E52" s="69" t="s">
        <v>176</v>
      </c>
      <c r="F52" s="70">
        <v>1674.81</v>
      </c>
      <c r="G52" s="70">
        <v>309.65999999999997</v>
      </c>
      <c r="H52" s="70">
        <v>1674.81</v>
      </c>
      <c r="I52" s="70">
        <v>309.65999999999997</v>
      </c>
      <c r="J52" s="71">
        <f t="shared" ref="J52:AA52" si="126">+J50+J51</f>
        <v>1993.1</v>
      </c>
      <c r="K52" s="71">
        <f t="shared" si="126"/>
        <v>90</v>
      </c>
      <c r="L52" s="71">
        <f t="shared" si="126"/>
        <v>0</v>
      </c>
      <c r="M52" s="71">
        <f t="shared" si="126"/>
        <v>2083.1</v>
      </c>
      <c r="N52" s="71">
        <f t="shared" si="126"/>
        <v>0</v>
      </c>
      <c r="O52" s="71">
        <f t="shared" si="126"/>
        <v>0</v>
      </c>
      <c r="P52" s="71">
        <f t="shared" si="126"/>
        <v>0</v>
      </c>
      <c r="Q52" s="71">
        <f t="shared" si="126"/>
        <v>0</v>
      </c>
      <c r="R52" s="71">
        <f t="shared" si="126"/>
        <v>2083.1</v>
      </c>
      <c r="S52" s="71">
        <f t="shared" si="126"/>
        <v>250</v>
      </c>
      <c r="T52" s="71">
        <f t="shared" si="126"/>
        <v>0</v>
      </c>
      <c r="U52" s="71">
        <f t="shared" si="126"/>
        <v>0</v>
      </c>
      <c r="V52" s="71">
        <f t="shared" si="126"/>
        <v>1772.4499999999998</v>
      </c>
      <c r="W52" s="71">
        <f t="shared" si="126"/>
        <v>319.79000000000002</v>
      </c>
      <c r="X52" s="71">
        <f t="shared" si="126"/>
        <v>310.64999999999998</v>
      </c>
      <c r="Y52" s="71">
        <f t="shared" si="126"/>
        <v>-69.79000000000002</v>
      </c>
      <c r="Z52" s="71">
        <f t="shared" si="126"/>
        <v>1772.4499999999998</v>
      </c>
      <c r="AA52" s="71">
        <f t="shared" si="126"/>
        <v>0</v>
      </c>
      <c r="AB52" s="70">
        <f t="shared" si="3"/>
        <v>1772.4499999999998</v>
      </c>
      <c r="AC52" s="43">
        <f t="shared" si="4"/>
        <v>0</v>
      </c>
      <c r="AD52" s="70">
        <f t="shared" ref="AD52:CP52" si="127">+AD50+AD51</f>
        <v>1772.4499999999998</v>
      </c>
      <c r="AE52" s="70">
        <f t="shared" si="127"/>
        <v>250</v>
      </c>
      <c r="AF52" s="70">
        <f t="shared" si="127"/>
        <v>225.55</v>
      </c>
      <c r="AG52" s="70">
        <f t="shared" si="127"/>
        <v>443</v>
      </c>
      <c r="AH52" s="70">
        <f t="shared" si="127"/>
        <v>63</v>
      </c>
      <c r="AI52" s="96">
        <f t="shared" si="127"/>
        <v>147</v>
      </c>
      <c r="AJ52" s="70">
        <f t="shared" si="127"/>
        <v>21</v>
      </c>
      <c r="AK52" s="70">
        <f t="shared" si="127"/>
        <v>0</v>
      </c>
      <c r="AL52" s="70">
        <f t="shared" si="127"/>
        <v>0</v>
      </c>
      <c r="AM52" s="70">
        <f t="shared" si="127"/>
        <v>443.11</v>
      </c>
      <c r="AN52" s="70">
        <f t="shared" si="127"/>
        <v>60.88</v>
      </c>
      <c r="AO52" s="70">
        <f t="shared" si="127"/>
        <v>0</v>
      </c>
      <c r="AP52" s="70">
        <f t="shared" si="127"/>
        <v>0</v>
      </c>
      <c r="AQ52" s="70">
        <f t="shared" si="127"/>
        <v>886.11</v>
      </c>
      <c r="AR52" s="70">
        <f t="shared" si="127"/>
        <v>123.88</v>
      </c>
      <c r="AS52" s="70">
        <f t="shared" si="127"/>
        <v>0</v>
      </c>
      <c r="AT52" s="70">
        <f t="shared" si="127"/>
        <v>0</v>
      </c>
      <c r="AU52" s="70">
        <f t="shared" si="127"/>
        <v>393.57</v>
      </c>
      <c r="AV52" s="70">
        <f t="shared" si="127"/>
        <v>45.05</v>
      </c>
      <c r="AW52" s="70">
        <f t="shared" si="127"/>
        <v>0</v>
      </c>
      <c r="AX52" s="70">
        <f t="shared" si="127"/>
        <v>0</v>
      </c>
      <c r="AY52" s="70">
        <f t="shared" si="127"/>
        <v>1426.68</v>
      </c>
      <c r="AZ52" s="70">
        <f t="shared" si="127"/>
        <v>189.93</v>
      </c>
      <c r="BA52" s="70">
        <f t="shared" si="127"/>
        <v>1616.6100000000001</v>
      </c>
      <c r="BB52" s="70">
        <f t="shared" si="127"/>
        <v>1091.3200000000002</v>
      </c>
      <c r="BC52" s="70">
        <f t="shared" si="127"/>
        <v>174.87</v>
      </c>
      <c r="BD52" s="70">
        <f t="shared" si="127"/>
        <v>335.36</v>
      </c>
      <c r="BE52" s="70">
        <f t="shared" si="127"/>
        <v>15.060000000000002</v>
      </c>
      <c r="BF52" s="70">
        <f t="shared" si="127"/>
        <v>218.26</v>
      </c>
      <c r="BG52" s="96">
        <f t="shared" si="127"/>
        <v>34.97</v>
      </c>
      <c r="BH52" s="96">
        <f t="shared" si="127"/>
        <v>11.63</v>
      </c>
      <c r="BI52" s="96">
        <f t="shared" si="127"/>
        <v>4.38</v>
      </c>
      <c r="BJ52" s="96">
        <f t="shared" si="127"/>
        <v>0</v>
      </c>
      <c r="BK52" s="96">
        <f t="shared" si="127"/>
        <v>0</v>
      </c>
      <c r="BL52" s="96">
        <f t="shared" si="127"/>
        <v>1438.31</v>
      </c>
      <c r="BM52" s="96">
        <f t="shared" si="127"/>
        <v>194.31</v>
      </c>
      <c r="BN52" s="96">
        <f t="shared" si="127"/>
        <v>1632.6200000000001</v>
      </c>
      <c r="BO52" s="96">
        <f t="shared" si="127"/>
        <v>1211.6999999999998</v>
      </c>
      <c r="BP52" s="96">
        <f t="shared" si="127"/>
        <v>174.87</v>
      </c>
      <c r="BQ52" s="70">
        <f t="shared" si="127"/>
        <v>226.61000000000013</v>
      </c>
      <c r="BR52" s="70">
        <f t="shared" si="127"/>
        <v>19.439999999999998</v>
      </c>
      <c r="BS52" s="70">
        <f t="shared" si="127"/>
        <v>110.16</v>
      </c>
      <c r="BT52" s="70">
        <f t="shared" si="127"/>
        <v>15.9</v>
      </c>
      <c r="BU52" s="70">
        <f t="shared" si="127"/>
        <v>11.62</v>
      </c>
      <c r="BV52" s="70">
        <f t="shared" si="127"/>
        <v>0</v>
      </c>
      <c r="BW52" s="70">
        <f t="shared" si="127"/>
        <v>0</v>
      </c>
      <c r="BX52" s="70">
        <f t="shared" si="127"/>
        <v>0</v>
      </c>
      <c r="BY52" s="70">
        <f t="shared" si="127"/>
        <v>0</v>
      </c>
      <c r="BZ52" s="70">
        <f t="shared" si="127"/>
        <v>0</v>
      </c>
      <c r="CA52" s="70">
        <f t="shared" si="127"/>
        <v>1449.93</v>
      </c>
      <c r="CB52" s="70">
        <f t="shared" si="127"/>
        <v>194.31</v>
      </c>
      <c r="CC52" s="70">
        <f t="shared" si="127"/>
        <v>1594.9299999999998</v>
      </c>
      <c r="CD52" s="70">
        <f t="shared" si="127"/>
        <v>223.46</v>
      </c>
      <c r="CE52" s="70">
        <f t="shared" si="127"/>
        <v>133</v>
      </c>
      <c r="CF52" s="70">
        <f t="shared" si="127"/>
        <v>19</v>
      </c>
      <c r="CG52" s="70">
        <f t="shared" si="127"/>
        <v>362.48</v>
      </c>
      <c r="CH52" s="96">
        <f t="shared" si="127"/>
        <v>48.58</v>
      </c>
      <c r="CI52" s="70">
        <f t="shared" si="127"/>
        <v>0</v>
      </c>
      <c r="CJ52" s="70">
        <f t="shared" si="127"/>
        <v>0</v>
      </c>
      <c r="CK52" s="70">
        <f t="shared" si="127"/>
        <v>335</v>
      </c>
      <c r="CL52" s="70">
        <f t="shared" si="127"/>
        <v>63.319999999999993</v>
      </c>
      <c r="CM52" s="70">
        <f t="shared" si="127"/>
        <v>0</v>
      </c>
      <c r="CN52" s="70">
        <f t="shared" si="127"/>
        <v>21</v>
      </c>
      <c r="CO52" s="70">
        <f t="shared" si="127"/>
        <v>1691</v>
      </c>
      <c r="CP52" s="70">
        <f t="shared" si="127"/>
        <v>150</v>
      </c>
      <c r="CQ52" s="70">
        <f t="shared" ref="CQ52:FB52" si="128">+CQ50+CQ51</f>
        <v>1340</v>
      </c>
      <c r="CR52" s="70">
        <f t="shared" si="128"/>
        <v>253.28</v>
      </c>
      <c r="CS52" s="70">
        <f t="shared" si="128"/>
        <v>1340</v>
      </c>
      <c r="CT52" s="70">
        <f t="shared" si="128"/>
        <v>150</v>
      </c>
      <c r="CU52" s="70">
        <f t="shared" si="128"/>
        <v>1695</v>
      </c>
      <c r="CV52" s="70">
        <f t="shared" si="128"/>
        <v>152</v>
      </c>
      <c r="CW52" s="70">
        <f t="shared" si="128"/>
        <v>423.75</v>
      </c>
      <c r="CX52" s="70">
        <f t="shared" si="128"/>
        <v>38</v>
      </c>
      <c r="CY52" s="70">
        <f t="shared" si="128"/>
        <v>0</v>
      </c>
      <c r="CZ52" s="70">
        <f t="shared" si="128"/>
        <v>0</v>
      </c>
      <c r="DA52" s="70">
        <f t="shared" si="128"/>
        <v>891.75</v>
      </c>
      <c r="DB52" s="70">
        <f t="shared" si="128"/>
        <v>141.32</v>
      </c>
      <c r="DC52" s="70">
        <f t="shared" si="128"/>
        <v>743.44</v>
      </c>
      <c r="DD52" s="70">
        <f t="shared" si="128"/>
        <v>102.52</v>
      </c>
      <c r="DE52" s="70">
        <f t="shared" si="128"/>
        <v>148.31</v>
      </c>
      <c r="DF52" s="70">
        <f t="shared" si="128"/>
        <v>38.799999999999997</v>
      </c>
      <c r="DG52" s="70">
        <f t="shared" si="128"/>
        <v>385.46000000000004</v>
      </c>
      <c r="DH52" s="70">
        <f t="shared" si="128"/>
        <v>38</v>
      </c>
      <c r="DI52" s="70">
        <f t="shared" si="128"/>
        <v>237.15</v>
      </c>
      <c r="DJ52" s="70">
        <f>+DJ50+DJ51</f>
        <v>2.886579864025407E-15</v>
      </c>
      <c r="DK52" s="70">
        <f t="shared" ref="DK52:ET52" si="129">+DK50+DK51</f>
        <v>34.4</v>
      </c>
      <c r="DL52" s="70">
        <f t="shared" si="129"/>
        <v>0</v>
      </c>
      <c r="DM52" s="70">
        <f t="shared" si="129"/>
        <v>1163.3</v>
      </c>
      <c r="DN52" s="70">
        <f t="shared" si="129"/>
        <v>141.32</v>
      </c>
      <c r="DO52" s="97">
        <f t="shared" si="129"/>
        <v>1087.0900000000001</v>
      </c>
      <c r="DP52" s="98">
        <f t="shared" si="129"/>
        <v>102.52</v>
      </c>
      <c r="DQ52" s="98">
        <f t="shared" si="129"/>
        <v>76.209999999999994</v>
      </c>
      <c r="DR52" s="98">
        <f t="shared" si="129"/>
        <v>38.799999999999997</v>
      </c>
      <c r="DS52" s="98">
        <f t="shared" si="129"/>
        <v>108.709</v>
      </c>
      <c r="DT52" s="98">
        <f t="shared" si="129"/>
        <v>10.251999999999999</v>
      </c>
      <c r="DU52" s="98">
        <f t="shared" si="129"/>
        <v>32.499000000000009</v>
      </c>
      <c r="DV52" s="98">
        <f t="shared" si="129"/>
        <v>-28.547999999999998</v>
      </c>
      <c r="DW52" s="98">
        <f t="shared" si="129"/>
        <v>0.18</v>
      </c>
      <c r="DX52" s="98">
        <f t="shared" si="129"/>
        <v>0</v>
      </c>
      <c r="DY52" s="98">
        <f t="shared" si="129"/>
        <v>32.67</v>
      </c>
      <c r="DZ52" s="98">
        <f t="shared" si="129"/>
        <v>0</v>
      </c>
      <c r="EA52" s="98">
        <f t="shared" si="129"/>
        <v>83.210000000000008</v>
      </c>
      <c r="EB52" s="134">
        <f t="shared" si="129"/>
        <v>15.1</v>
      </c>
      <c r="EC52" s="140">
        <f t="shared" si="129"/>
        <v>1279.1799999999998</v>
      </c>
      <c r="ED52" s="140">
        <f t="shared" si="129"/>
        <v>156.41999999999999</v>
      </c>
      <c r="EE52" s="140">
        <f t="shared" si="129"/>
        <v>1278.3400000000001</v>
      </c>
      <c r="EF52" s="140">
        <f t="shared" si="129"/>
        <v>155.91999999999999</v>
      </c>
      <c r="EG52" s="140">
        <f t="shared" si="129"/>
        <v>200.25</v>
      </c>
      <c r="EH52" s="140" t="e">
        <f t="shared" si="129"/>
        <v>#DIV/0!</v>
      </c>
      <c r="EI52" s="140">
        <f t="shared" si="129"/>
        <v>0.83999999999999986</v>
      </c>
      <c r="EJ52" s="140">
        <f t="shared" si="129"/>
        <v>0.5</v>
      </c>
      <c r="EK52" s="140">
        <f t="shared" si="129"/>
        <v>116.21000000000001</v>
      </c>
      <c r="EL52" s="140">
        <f t="shared" si="129"/>
        <v>14.17</v>
      </c>
      <c r="EM52" s="140">
        <f t="shared" si="129"/>
        <v>115.37</v>
      </c>
      <c r="EN52" s="140">
        <f t="shared" si="129"/>
        <v>13.67</v>
      </c>
      <c r="EO52" s="140">
        <f t="shared" si="129"/>
        <v>134.18</v>
      </c>
      <c r="EP52" s="140">
        <f t="shared" si="129"/>
        <v>0</v>
      </c>
      <c r="EQ52" s="136">
        <f t="shared" si="129"/>
        <v>0</v>
      </c>
      <c r="ER52" s="47">
        <f t="shared" si="129"/>
        <v>0</v>
      </c>
      <c r="ES52" s="47">
        <f t="shared" si="129"/>
        <v>0</v>
      </c>
      <c r="ET52" s="47">
        <f t="shared" si="129"/>
        <v>15.1</v>
      </c>
      <c r="EU52" s="5">
        <f t="shared" si="88"/>
        <v>128.47000000000008</v>
      </c>
      <c r="EV52" s="5">
        <f t="shared" si="88"/>
        <v>11.099999999999994</v>
      </c>
      <c r="EW52" s="46">
        <f t="shared" si="128"/>
        <v>1541.83</v>
      </c>
      <c r="EX52" s="46">
        <f t="shared" si="128"/>
        <v>167.51999999999998</v>
      </c>
      <c r="EY52" s="46">
        <f t="shared" si="128"/>
        <v>1865</v>
      </c>
      <c r="EZ52" s="46">
        <f t="shared" si="128"/>
        <v>70</v>
      </c>
      <c r="FA52" s="46">
        <f t="shared" si="128"/>
        <v>0</v>
      </c>
      <c r="FB52" s="46">
        <f t="shared" si="128"/>
        <v>0</v>
      </c>
      <c r="FC52" s="46">
        <f t="shared" ref="FC52" si="130">+FC50+FC51</f>
        <v>0</v>
      </c>
    </row>
    <row r="53" spans="1:160" ht="18.75" x14ac:dyDescent="0.25">
      <c r="A53" s="37">
        <v>37</v>
      </c>
      <c r="B53" s="37"/>
      <c r="C53" s="91" t="s">
        <v>122</v>
      </c>
      <c r="D53" s="109" t="s">
        <v>177</v>
      </c>
      <c r="E53" s="39"/>
      <c r="F53" s="40">
        <v>971.93000000000006</v>
      </c>
      <c r="G53" s="40">
        <v>120.08999999999999</v>
      </c>
      <c r="H53" s="40">
        <v>960</v>
      </c>
      <c r="I53" s="40">
        <v>98.569999999999979</v>
      </c>
      <c r="J53" s="41">
        <v>1090</v>
      </c>
      <c r="K53" s="41">
        <v>0</v>
      </c>
      <c r="L53" s="41">
        <v>0</v>
      </c>
      <c r="M53" s="41">
        <f>J53+K53+L53</f>
        <v>1090</v>
      </c>
      <c r="N53" s="41">
        <v>0</v>
      </c>
      <c r="O53" s="41">
        <v>0</v>
      </c>
      <c r="P53" s="41">
        <v>0</v>
      </c>
      <c r="Q53" s="41">
        <f>N53+O53+P53</f>
        <v>0</v>
      </c>
      <c r="R53" s="41">
        <f t="shared" si="106"/>
        <v>1090</v>
      </c>
      <c r="S53" s="41">
        <v>113</v>
      </c>
      <c r="T53" s="92"/>
      <c r="U53" s="92"/>
      <c r="V53" s="40">
        <f t="shared" ref="V53:V54" si="131">ROUND(H53*1.0583,2)</f>
        <v>1015.97</v>
      </c>
      <c r="W53" s="40">
        <f t="shared" ref="W53:W54" si="132">ROUND(I53*1.0327,2)</f>
        <v>101.79</v>
      </c>
      <c r="X53" s="43">
        <f t="shared" si="2"/>
        <v>74.029999999999973</v>
      </c>
      <c r="Y53" s="43">
        <f t="shared" si="2"/>
        <v>11.209999999999994</v>
      </c>
      <c r="Z53" s="43">
        <v>1015.97</v>
      </c>
      <c r="AA53" s="43"/>
      <c r="AB53" s="43">
        <f t="shared" si="3"/>
        <v>1015.97</v>
      </c>
      <c r="AC53" s="43">
        <f t="shared" si="4"/>
        <v>0</v>
      </c>
      <c r="AD53" s="43">
        <f t="shared" ref="AD53:AE54" si="133">IF(X53&gt;0,V53,R53)</f>
        <v>1015.97</v>
      </c>
      <c r="AE53" s="43">
        <f t="shared" si="133"/>
        <v>101.79</v>
      </c>
      <c r="AF53" s="43">
        <f t="shared" si="5"/>
        <v>101.95</v>
      </c>
      <c r="AG53" s="43">
        <f t="shared" si="6"/>
        <v>254</v>
      </c>
      <c r="AH53" s="43">
        <f t="shared" si="6"/>
        <v>25</v>
      </c>
      <c r="AI53" s="93">
        <f t="shared" si="7"/>
        <v>85</v>
      </c>
      <c r="AJ53" s="43">
        <f t="shared" si="7"/>
        <v>8</v>
      </c>
      <c r="AK53" s="43"/>
      <c r="AL53" s="43"/>
      <c r="AM53" s="43">
        <f t="shared" si="8"/>
        <v>253.99</v>
      </c>
      <c r="AN53" s="43">
        <f t="shared" si="9"/>
        <v>24.79</v>
      </c>
      <c r="AO53" s="43"/>
      <c r="AP53" s="43"/>
      <c r="AQ53" s="43">
        <f t="shared" si="10"/>
        <v>507.99</v>
      </c>
      <c r="AR53" s="43">
        <f t="shared" si="10"/>
        <v>49.79</v>
      </c>
      <c r="AS53" s="43">
        <v>60</v>
      </c>
      <c r="AT53" s="43"/>
      <c r="AU53" s="43">
        <f t="shared" si="0"/>
        <v>253.99</v>
      </c>
      <c r="AV53" s="43">
        <f>ROUND(AE53*25%,2)-25.45</f>
        <v>0</v>
      </c>
      <c r="AW53" s="43">
        <v>40</v>
      </c>
      <c r="AX53" s="43"/>
      <c r="AY53" s="43">
        <f t="shared" si="11"/>
        <v>946.98</v>
      </c>
      <c r="AZ53" s="43">
        <f t="shared" si="11"/>
        <v>57.79</v>
      </c>
      <c r="BA53" s="43">
        <f t="shared" si="12"/>
        <v>1004.77</v>
      </c>
      <c r="BB53" s="60">
        <v>938.96</v>
      </c>
      <c r="BC53" s="60">
        <v>57.7</v>
      </c>
      <c r="BD53" s="60">
        <f t="shared" si="13"/>
        <v>8.0199999999999818</v>
      </c>
      <c r="BE53" s="60">
        <f t="shared" si="13"/>
        <v>8.9999999999996305E-2</v>
      </c>
      <c r="BF53" s="60">
        <f t="shared" si="14"/>
        <v>187.79</v>
      </c>
      <c r="BG53" s="60">
        <f t="shared" si="14"/>
        <v>11.54</v>
      </c>
      <c r="BH53" s="43">
        <v>63.86</v>
      </c>
      <c r="BI53" s="43">
        <v>0</v>
      </c>
      <c r="BJ53" s="43">
        <v>30</v>
      </c>
      <c r="BK53" s="43">
        <v>5</v>
      </c>
      <c r="BL53" s="43">
        <f t="shared" si="1"/>
        <v>1040.8400000000001</v>
      </c>
      <c r="BM53" s="43">
        <f t="shared" si="1"/>
        <v>62.79</v>
      </c>
      <c r="BN53" s="43">
        <f t="shared" si="15"/>
        <v>1103.6300000000001</v>
      </c>
      <c r="BO53" s="43">
        <v>1036.83</v>
      </c>
      <c r="BP53" s="93">
        <v>57.7</v>
      </c>
      <c r="BQ53" s="43">
        <f t="shared" si="16"/>
        <v>4.0100000000002183</v>
      </c>
      <c r="BR53" s="43">
        <f t="shared" si="16"/>
        <v>5.0899999999999963</v>
      </c>
      <c r="BS53" s="43">
        <f t="shared" si="17"/>
        <v>94.26</v>
      </c>
      <c r="BT53" s="43">
        <f t="shared" si="17"/>
        <v>5.25</v>
      </c>
      <c r="BU53" s="43">
        <f>ROUND(BS53-BQ53,2)</f>
        <v>90.25</v>
      </c>
      <c r="BV53" s="43">
        <v>0</v>
      </c>
      <c r="BW53" s="43">
        <v>5</v>
      </c>
      <c r="BX53" s="43"/>
      <c r="BY53" s="43"/>
      <c r="BZ53" s="43"/>
      <c r="CA53" s="43">
        <v>1136.0900000000001</v>
      </c>
      <c r="CB53" s="43">
        <v>62.79</v>
      </c>
      <c r="CC53" s="92">
        <v>1249.7</v>
      </c>
      <c r="CD53" s="92">
        <v>72.209999999999994</v>
      </c>
      <c r="CE53" s="92">
        <v>104</v>
      </c>
      <c r="CF53" s="92">
        <v>6</v>
      </c>
      <c r="CG53" s="92">
        <f t="shared" si="19"/>
        <v>284.02</v>
      </c>
      <c r="CH53" s="92">
        <f t="shared" si="19"/>
        <v>15.7</v>
      </c>
      <c r="CI53" s="43"/>
      <c r="CJ53" s="43"/>
      <c r="CK53" s="43">
        <v>315</v>
      </c>
      <c r="CL53" s="43">
        <v>0</v>
      </c>
      <c r="CM53" s="43"/>
      <c r="CN53" s="43"/>
      <c r="CO53" s="43">
        <v>1339</v>
      </c>
      <c r="CP53" s="72">
        <v>105</v>
      </c>
      <c r="CQ53" s="43">
        <f t="shared" si="20"/>
        <v>1260</v>
      </c>
      <c r="CR53" s="43">
        <f t="shared" si="20"/>
        <v>0</v>
      </c>
      <c r="CS53" s="43">
        <f t="shared" si="21"/>
        <v>1260</v>
      </c>
      <c r="CT53" s="43">
        <f>IF(CP53&lt;CR53,CP53,CR53)+105</f>
        <v>105</v>
      </c>
      <c r="CU53" s="43">
        <f t="shared" ref="CU53:CV55" si="134">IF(CQ53&lt;CS53,CQ53,CS53)</f>
        <v>1260</v>
      </c>
      <c r="CV53" s="43">
        <f>2.25+105</f>
        <v>107.25</v>
      </c>
      <c r="CW53" s="43">
        <v>315</v>
      </c>
      <c r="CX53" s="43">
        <v>26.25</v>
      </c>
      <c r="CY53" s="43"/>
      <c r="CZ53" s="43">
        <v>75</v>
      </c>
      <c r="DA53" s="43">
        <v>734</v>
      </c>
      <c r="DB53" s="43">
        <v>107.25</v>
      </c>
      <c r="DC53" s="43">
        <v>710.98</v>
      </c>
      <c r="DD53" s="43">
        <v>103.19</v>
      </c>
      <c r="DE53" s="43">
        <v>23.019999999999982</v>
      </c>
      <c r="DF53" s="43">
        <v>4.0600000000000023</v>
      </c>
      <c r="DG53" s="43">
        <v>315</v>
      </c>
      <c r="DH53" s="43">
        <v>26.25</v>
      </c>
      <c r="DI53" s="43">
        <v>291.98</v>
      </c>
      <c r="DJ53" s="43">
        <v>0</v>
      </c>
      <c r="DK53" s="43">
        <v>12</v>
      </c>
      <c r="DL53" s="43"/>
      <c r="DM53" s="43">
        <f t="shared" si="25"/>
        <v>1037.98</v>
      </c>
      <c r="DN53" s="43">
        <f t="shared" si="25"/>
        <v>107.25</v>
      </c>
      <c r="DO53" s="94">
        <v>1037.5999999999999</v>
      </c>
      <c r="DP53" s="94">
        <v>104.45</v>
      </c>
      <c r="DQ53" s="60">
        <f t="shared" si="26"/>
        <v>0.38</v>
      </c>
      <c r="DR53" s="60">
        <f t="shared" si="26"/>
        <v>2.8</v>
      </c>
      <c r="DS53" s="60">
        <f t="shared" si="27"/>
        <v>103.75999999999999</v>
      </c>
      <c r="DT53" s="60">
        <f t="shared" si="27"/>
        <v>10.445</v>
      </c>
      <c r="DU53" s="60">
        <f t="shared" si="28"/>
        <v>103.38</v>
      </c>
      <c r="DV53" s="60">
        <f t="shared" si="28"/>
        <v>7.6450000000000005</v>
      </c>
      <c r="DW53" s="60"/>
      <c r="DX53" s="60"/>
      <c r="DY53" s="60">
        <f t="shared" si="29"/>
        <v>103.38</v>
      </c>
      <c r="DZ53" s="60">
        <f t="shared" si="29"/>
        <v>7.65</v>
      </c>
      <c r="EA53" s="60"/>
      <c r="EB53" s="60"/>
      <c r="EC53" s="43">
        <f t="shared" si="30"/>
        <v>1141.3600000000001</v>
      </c>
      <c r="ED53" s="43">
        <f t="shared" si="30"/>
        <v>114.9</v>
      </c>
      <c r="EE53" s="43">
        <v>1131.76</v>
      </c>
      <c r="EF53" s="43">
        <v>104.45</v>
      </c>
      <c r="EG53" s="43">
        <f t="shared" si="66"/>
        <v>99.16</v>
      </c>
      <c r="EH53" s="43">
        <f t="shared" si="66"/>
        <v>90.91</v>
      </c>
      <c r="EI53" s="43">
        <f t="shared" si="32"/>
        <v>9.6</v>
      </c>
      <c r="EJ53" s="43">
        <f t="shared" si="32"/>
        <v>10.45</v>
      </c>
      <c r="EK53" s="43">
        <f t="shared" si="33"/>
        <v>102.89</v>
      </c>
      <c r="EL53" s="43">
        <f t="shared" si="33"/>
        <v>9.5</v>
      </c>
      <c r="EM53" s="43">
        <f t="shared" si="34"/>
        <v>93.29</v>
      </c>
      <c r="EN53" s="43">
        <f t="shared" si="34"/>
        <v>-0.94999999999999929</v>
      </c>
      <c r="EO53" s="43">
        <v>103</v>
      </c>
      <c r="EP53" s="43">
        <v>0</v>
      </c>
      <c r="EQ53" s="5"/>
      <c r="ER53" s="5"/>
      <c r="ES53" s="5"/>
      <c r="ET53" s="5"/>
      <c r="EU53" s="5">
        <f t="shared" si="88"/>
        <v>15.639999999999873</v>
      </c>
      <c r="EV53" s="5">
        <f t="shared" si="88"/>
        <v>5.0999999999999943</v>
      </c>
      <c r="EW53" s="5">
        <v>1260</v>
      </c>
      <c r="EX53" s="5">
        <v>120</v>
      </c>
      <c r="EY53" s="5">
        <v>0</v>
      </c>
      <c r="EZ53" s="5">
        <v>0</v>
      </c>
    </row>
    <row r="54" spans="1:160" ht="31.5" x14ac:dyDescent="0.25">
      <c r="A54" s="37">
        <v>38</v>
      </c>
      <c r="B54" s="37"/>
      <c r="C54" s="91" t="s">
        <v>122</v>
      </c>
      <c r="D54" s="105" t="s">
        <v>178</v>
      </c>
      <c r="E54" s="39"/>
      <c r="F54" s="40">
        <v>0</v>
      </c>
      <c r="G54" s="40">
        <v>0</v>
      </c>
      <c r="H54" s="40">
        <v>0</v>
      </c>
      <c r="I54" s="40">
        <v>0</v>
      </c>
      <c r="J54" s="41">
        <v>0</v>
      </c>
      <c r="K54" s="41">
        <v>0</v>
      </c>
      <c r="L54" s="41">
        <v>0</v>
      </c>
      <c r="M54" s="41">
        <f>J54+K54+L54</f>
        <v>0</v>
      </c>
      <c r="N54" s="41">
        <v>0</v>
      </c>
      <c r="O54" s="41">
        <v>0</v>
      </c>
      <c r="P54" s="41">
        <v>0</v>
      </c>
      <c r="Q54" s="41">
        <f>N54+O54+P54</f>
        <v>0</v>
      </c>
      <c r="R54" s="41">
        <f t="shared" si="106"/>
        <v>0</v>
      </c>
      <c r="S54" s="41">
        <v>0</v>
      </c>
      <c r="T54" s="92"/>
      <c r="U54" s="92"/>
      <c r="V54" s="40">
        <f t="shared" si="131"/>
        <v>0</v>
      </c>
      <c r="W54" s="40">
        <f t="shared" si="132"/>
        <v>0</v>
      </c>
      <c r="X54" s="43">
        <f t="shared" si="2"/>
        <v>0</v>
      </c>
      <c r="Y54" s="43">
        <f t="shared" si="2"/>
        <v>0</v>
      </c>
      <c r="Z54" s="43">
        <v>0</v>
      </c>
      <c r="AA54" s="43"/>
      <c r="AB54" s="43">
        <f t="shared" si="3"/>
        <v>0</v>
      </c>
      <c r="AC54" s="43">
        <f t="shared" si="4"/>
        <v>0</v>
      </c>
      <c r="AD54" s="43">
        <f t="shared" si="133"/>
        <v>0</v>
      </c>
      <c r="AE54" s="43">
        <f t="shared" si="133"/>
        <v>0</v>
      </c>
      <c r="AF54" s="43">
        <f t="shared" si="5"/>
        <v>0</v>
      </c>
      <c r="AG54" s="43">
        <f t="shared" si="6"/>
        <v>0</v>
      </c>
      <c r="AH54" s="43">
        <f t="shared" si="6"/>
        <v>0</v>
      </c>
      <c r="AI54" s="93">
        <f t="shared" si="7"/>
        <v>0</v>
      </c>
      <c r="AJ54" s="43">
        <f t="shared" si="7"/>
        <v>0</v>
      </c>
      <c r="AK54" s="43"/>
      <c r="AL54" s="43"/>
      <c r="AM54" s="43">
        <f t="shared" si="8"/>
        <v>0</v>
      </c>
      <c r="AN54" s="43">
        <f t="shared" si="9"/>
        <v>0</v>
      </c>
      <c r="AO54" s="43"/>
      <c r="AP54" s="43"/>
      <c r="AQ54" s="43">
        <f t="shared" si="10"/>
        <v>0</v>
      </c>
      <c r="AR54" s="43">
        <f t="shared" si="10"/>
        <v>0</v>
      </c>
      <c r="AS54" s="43"/>
      <c r="AT54" s="43"/>
      <c r="AU54" s="43">
        <f t="shared" si="0"/>
        <v>0</v>
      </c>
      <c r="AV54" s="43">
        <f t="shared" si="0"/>
        <v>0</v>
      </c>
      <c r="AW54" s="43"/>
      <c r="AX54" s="43"/>
      <c r="AY54" s="43">
        <f t="shared" si="11"/>
        <v>0</v>
      </c>
      <c r="AZ54" s="43">
        <f t="shared" si="11"/>
        <v>0</v>
      </c>
      <c r="BA54" s="43">
        <f t="shared" si="12"/>
        <v>0</v>
      </c>
      <c r="BB54" s="60">
        <v>0</v>
      </c>
      <c r="BC54" s="60"/>
      <c r="BD54" s="60">
        <f t="shared" si="13"/>
        <v>0</v>
      </c>
      <c r="BE54" s="60">
        <f t="shared" si="13"/>
        <v>0</v>
      </c>
      <c r="BF54" s="60">
        <f t="shared" si="14"/>
        <v>0</v>
      </c>
      <c r="BG54" s="60">
        <f t="shared" si="14"/>
        <v>0</v>
      </c>
      <c r="BH54" s="43">
        <v>0</v>
      </c>
      <c r="BI54" s="43">
        <v>0</v>
      </c>
      <c r="BJ54" s="43"/>
      <c r="BK54" s="43"/>
      <c r="BL54" s="43">
        <f t="shared" si="1"/>
        <v>0</v>
      </c>
      <c r="BM54" s="43">
        <f t="shared" si="1"/>
        <v>0</v>
      </c>
      <c r="BN54" s="43">
        <f t="shared" si="15"/>
        <v>0</v>
      </c>
      <c r="BO54" s="43"/>
      <c r="BP54" s="93"/>
      <c r="BQ54" s="43">
        <f t="shared" si="16"/>
        <v>0</v>
      </c>
      <c r="BR54" s="43">
        <f t="shared" si="16"/>
        <v>0</v>
      </c>
      <c r="BS54" s="43">
        <f t="shared" si="17"/>
        <v>0</v>
      </c>
      <c r="BT54" s="43">
        <f t="shared" si="17"/>
        <v>0</v>
      </c>
      <c r="BU54" s="43">
        <f t="shared" ref="BU54:BU55" si="135">ROUND(BS54-BQ54,2)</f>
        <v>0</v>
      </c>
      <c r="BV54" s="43">
        <f t="shared" si="99"/>
        <v>0</v>
      </c>
      <c r="BW54" s="43"/>
      <c r="BX54" s="43"/>
      <c r="BY54" s="43"/>
      <c r="BZ54" s="43"/>
      <c r="CA54" s="43">
        <v>0</v>
      </c>
      <c r="CB54" s="43">
        <v>0</v>
      </c>
      <c r="CC54" s="92">
        <v>0</v>
      </c>
      <c r="CD54" s="92">
        <v>0</v>
      </c>
      <c r="CE54" s="92">
        <v>0</v>
      </c>
      <c r="CF54" s="92">
        <v>0</v>
      </c>
      <c r="CG54" s="92">
        <f t="shared" si="19"/>
        <v>0</v>
      </c>
      <c r="CH54" s="92">
        <f t="shared" si="19"/>
        <v>0</v>
      </c>
      <c r="CI54" s="43"/>
      <c r="CJ54" s="43"/>
      <c r="CK54" s="43">
        <v>0</v>
      </c>
      <c r="CL54" s="43">
        <v>0</v>
      </c>
      <c r="CM54" s="43"/>
      <c r="CN54" s="43"/>
      <c r="CO54" s="43">
        <v>0</v>
      </c>
      <c r="CP54" s="43">
        <v>0</v>
      </c>
      <c r="CQ54" s="43">
        <f t="shared" si="20"/>
        <v>0</v>
      </c>
      <c r="CR54" s="43">
        <f t="shared" si="20"/>
        <v>0</v>
      </c>
      <c r="CS54" s="43">
        <f t="shared" si="21"/>
        <v>0</v>
      </c>
      <c r="CT54" s="43">
        <f t="shared" si="21"/>
        <v>0</v>
      </c>
      <c r="CU54" s="43">
        <f t="shared" si="134"/>
        <v>0</v>
      </c>
      <c r="CV54" s="43">
        <f t="shared" si="134"/>
        <v>0</v>
      </c>
      <c r="CW54" s="43">
        <f t="shared" si="22"/>
        <v>0</v>
      </c>
      <c r="CX54" s="43">
        <f t="shared" si="22"/>
        <v>0</v>
      </c>
      <c r="CY54" s="43"/>
      <c r="CZ54" s="43"/>
      <c r="DA54" s="43">
        <f t="shared" si="23"/>
        <v>0</v>
      </c>
      <c r="DB54" s="43">
        <f t="shared" si="23"/>
        <v>0</v>
      </c>
      <c r="DC54" s="43">
        <v>0</v>
      </c>
      <c r="DD54" s="43">
        <v>0</v>
      </c>
      <c r="DE54" s="43">
        <f t="shared" si="24"/>
        <v>0</v>
      </c>
      <c r="DF54" s="43">
        <f t="shared" si="24"/>
        <v>0</v>
      </c>
      <c r="DG54" s="43">
        <f>ROUND(0.25*(MIN(CU54,EW54)),2)</f>
        <v>0</v>
      </c>
      <c r="DH54" s="43">
        <f>ROUND(0.25*(MIN(CV54,EX54)),2)</f>
        <v>0</v>
      </c>
      <c r="DI54" s="43">
        <f>+DG54-DE54</f>
        <v>0</v>
      </c>
      <c r="DJ54" s="43">
        <f>+DH54-DF54</f>
        <v>0</v>
      </c>
      <c r="DK54" s="43"/>
      <c r="DL54" s="43"/>
      <c r="DM54" s="43">
        <f t="shared" si="25"/>
        <v>0</v>
      </c>
      <c r="DN54" s="43">
        <f t="shared" si="25"/>
        <v>0</v>
      </c>
      <c r="DO54" s="94">
        <v>0</v>
      </c>
      <c r="DP54" s="94">
        <v>0</v>
      </c>
      <c r="DQ54" s="60">
        <f t="shared" si="26"/>
        <v>0</v>
      </c>
      <c r="DR54" s="60">
        <f t="shared" si="26"/>
        <v>0</v>
      </c>
      <c r="DS54" s="60">
        <f t="shared" si="27"/>
        <v>0</v>
      </c>
      <c r="DT54" s="60">
        <f t="shared" si="27"/>
        <v>0</v>
      </c>
      <c r="DU54" s="60">
        <f t="shared" si="28"/>
        <v>0</v>
      </c>
      <c r="DV54" s="60">
        <f t="shared" si="28"/>
        <v>0</v>
      </c>
      <c r="DW54" s="60"/>
      <c r="DX54" s="60"/>
      <c r="DY54" s="60">
        <f t="shared" si="29"/>
        <v>0</v>
      </c>
      <c r="DZ54" s="60">
        <f t="shared" si="29"/>
        <v>0</v>
      </c>
      <c r="EA54" s="60"/>
      <c r="EB54" s="60"/>
      <c r="EC54" s="43">
        <f t="shared" si="30"/>
        <v>0</v>
      </c>
      <c r="ED54" s="43">
        <f t="shared" si="30"/>
        <v>0</v>
      </c>
      <c r="EE54" s="43"/>
      <c r="EF54" s="43"/>
      <c r="EG54" s="43" t="e">
        <f t="shared" si="66"/>
        <v>#DIV/0!</v>
      </c>
      <c r="EH54" s="43" t="e">
        <f t="shared" si="66"/>
        <v>#DIV/0!</v>
      </c>
      <c r="EI54" s="43">
        <f t="shared" si="32"/>
        <v>0</v>
      </c>
      <c r="EJ54" s="43">
        <f t="shared" si="32"/>
        <v>0</v>
      </c>
      <c r="EK54" s="43">
        <f t="shared" si="33"/>
        <v>0</v>
      </c>
      <c r="EL54" s="43">
        <f t="shared" si="33"/>
        <v>0</v>
      </c>
      <c r="EM54" s="43">
        <f t="shared" si="34"/>
        <v>0</v>
      </c>
      <c r="EN54" s="43">
        <f t="shared" si="34"/>
        <v>0</v>
      </c>
      <c r="EO54" s="43">
        <v>0</v>
      </c>
      <c r="EP54" s="43">
        <v>0</v>
      </c>
      <c r="EQ54" s="5"/>
      <c r="ER54" s="5"/>
      <c r="ES54" s="5"/>
      <c r="ET54" s="5"/>
      <c r="EU54" s="5">
        <f t="shared" si="88"/>
        <v>0</v>
      </c>
      <c r="EV54" s="5">
        <f t="shared" si="88"/>
        <v>0</v>
      </c>
      <c r="EW54" s="5">
        <v>0</v>
      </c>
      <c r="EX54" s="5">
        <v>0</v>
      </c>
      <c r="EY54" s="5">
        <v>0</v>
      </c>
      <c r="EZ54" s="5">
        <v>0</v>
      </c>
    </row>
    <row r="55" spans="1:160" ht="18.75" x14ac:dyDescent="0.25">
      <c r="A55" s="37"/>
      <c r="B55" s="37"/>
      <c r="C55" s="91" t="s">
        <v>122</v>
      </c>
      <c r="D55" s="105" t="s">
        <v>179</v>
      </c>
      <c r="E55" s="39"/>
      <c r="F55" s="40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92"/>
      <c r="U55" s="92"/>
      <c r="V55" s="40"/>
      <c r="W55" s="40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9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>
        <f t="shared" si="11"/>
        <v>0</v>
      </c>
      <c r="AZ55" s="43">
        <f t="shared" si="11"/>
        <v>0</v>
      </c>
      <c r="BA55" s="43">
        <f t="shared" si="12"/>
        <v>0</v>
      </c>
      <c r="BB55" s="60">
        <v>0</v>
      </c>
      <c r="BC55" s="60"/>
      <c r="BD55" s="60">
        <f t="shared" si="13"/>
        <v>0</v>
      </c>
      <c r="BE55" s="60">
        <f t="shared" si="13"/>
        <v>0</v>
      </c>
      <c r="BF55" s="60">
        <f t="shared" si="14"/>
        <v>0</v>
      </c>
      <c r="BG55" s="60">
        <f t="shared" si="14"/>
        <v>0</v>
      </c>
      <c r="BH55" s="43">
        <v>0</v>
      </c>
      <c r="BI55" s="43">
        <v>0</v>
      </c>
      <c r="BJ55" s="43"/>
      <c r="BK55" s="43"/>
      <c r="BL55" s="43">
        <f t="shared" si="1"/>
        <v>0</v>
      </c>
      <c r="BM55" s="43">
        <f t="shared" si="1"/>
        <v>0</v>
      </c>
      <c r="BN55" s="43">
        <f t="shared" si="15"/>
        <v>0</v>
      </c>
      <c r="BO55" s="43"/>
      <c r="BP55" s="93"/>
      <c r="BQ55" s="43">
        <f t="shared" si="16"/>
        <v>0</v>
      </c>
      <c r="BR55" s="43">
        <f t="shared" si="16"/>
        <v>0</v>
      </c>
      <c r="BS55" s="43">
        <f t="shared" si="17"/>
        <v>0</v>
      </c>
      <c r="BT55" s="43">
        <f t="shared" si="17"/>
        <v>0</v>
      </c>
      <c r="BU55" s="43">
        <f t="shared" si="135"/>
        <v>0</v>
      </c>
      <c r="BV55" s="43">
        <f t="shared" si="99"/>
        <v>0</v>
      </c>
      <c r="BW55" s="43"/>
      <c r="BX55" s="43"/>
      <c r="BY55" s="43"/>
      <c r="BZ55" s="43"/>
      <c r="CA55" s="43">
        <v>0</v>
      </c>
      <c r="CB55" s="43">
        <v>0</v>
      </c>
      <c r="CC55" s="92">
        <v>0</v>
      </c>
      <c r="CD55" s="92">
        <v>0</v>
      </c>
      <c r="CE55" s="92">
        <v>0</v>
      </c>
      <c r="CF55" s="92">
        <v>0</v>
      </c>
      <c r="CG55" s="92">
        <f t="shared" si="19"/>
        <v>0</v>
      </c>
      <c r="CH55" s="92">
        <f t="shared" si="19"/>
        <v>0</v>
      </c>
      <c r="CI55" s="43"/>
      <c r="CJ55" s="43"/>
      <c r="CK55" s="43">
        <v>0</v>
      </c>
      <c r="CL55" s="43">
        <v>0</v>
      </c>
      <c r="CM55" s="43"/>
      <c r="CN55" s="43"/>
      <c r="CO55" s="43"/>
      <c r="CP55" s="43"/>
      <c r="CQ55" s="43">
        <f t="shared" si="20"/>
        <v>0</v>
      </c>
      <c r="CR55" s="43">
        <f t="shared" si="20"/>
        <v>0</v>
      </c>
      <c r="CS55" s="43">
        <f t="shared" si="21"/>
        <v>0</v>
      </c>
      <c r="CT55" s="43">
        <f t="shared" si="21"/>
        <v>0</v>
      </c>
      <c r="CU55" s="43">
        <f t="shared" si="134"/>
        <v>0</v>
      </c>
      <c r="CV55" s="43">
        <f t="shared" si="134"/>
        <v>0</v>
      </c>
      <c r="CW55" s="43">
        <f t="shared" si="22"/>
        <v>0</v>
      </c>
      <c r="CX55" s="43">
        <f t="shared" si="22"/>
        <v>0</v>
      </c>
      <c r="CY55" s="43"/>
      <c r="CZ55" s="43"/>
      <c r="DA55" s="43">
        <f t="shared" si="23"/>
        <v>0</v>
      </c>
      <c r="DB55" s="43">
        <f t="shared" si="23"/>
        <v>0</v>
      </c>
      <c r="DC55" s="43">
        <v>0</v>
      </c>
      <c r="DD55" s="43">
        <v>0</v>
      </c>
      <c r="DE55" s="43">
        <f t="shared" si="24"/>
        <v>0</v>
      </c>
      <c r="DF55" s="43">
        <f t="shared" si="24"/>
        <v>0</v>
      </c>
      <c r="DG55" s="43">
        <f>ROUND(0.25*(MIN(CU55,EW55)),2)</f>
        <v>0</v>
      </c>
      <c r="DH55" s="43">
        <f>ROUND(0.25*(MIN(CV55,EX55)),2)</f>
        <v>0</v>
      </c>
      <c r="DI55" s="43">
        <f>+DG55-DE55</f>
        <v>0</v>
      </c>
      <c r="DJ55" s="43">
        <f>+DH55-DF55</f>
        <v>0</v>
      </c>
      <c r="DK55" s="43"/>
      <c r="DL55" s="43"/>
      <c r="DM55" s="43">
        <f t="shared" si="25"/>
        <v>0</v>
      </c>
      <c r="DN55" s="43">
        <f t="shared" si="25"/>
        <v>0</v>
      </c>
      <c r="DO55" s="94">
        <v>0</v>
      </c>
      <c r="DP55" s="94">
        <v>0</v>
      </c>
      <c r="DQ55" s="60">
        <f t="shared" si="26"/>
        <v>0</v>
      </c>
      <c r="DR55" s="60">
        <f t="shared" si="26"/>
        <v>0</v>
      </c>
      <c r="DS55" s="60">
        <f t="shared" si="27"/>
        <v>0</v>
      </c>
      <c r="DT55" s="60">
        <f t="shared" si="27"/>
        <v>0</v>
      </c>
      <c r="DU55" s="60">
        <f t="shared" si="28"/>
        <v>0</v>
      </c>
      <c r="DV55" s="60">
        <f t="shared" si="28"/>
        <v>0</v>
      </c>
      <c r="DW55" s="60"/>
      <c r="DX55" s="60"/>
      <c r="DY55" s="60">
        <f t="shared" si="29"/>
        <v>0</v>
      </c>
      <c r="DZ55" s="60">
        <f t="shared" si="29"/>
        <v>0</v>
      </c>
      <c r="EA55" s="60"/>
      <c r="EB55" s="60"/>
      <c r="EC55" s="43">
        <f t="shared" si="30"/>
        <v>0</v>
      </c>
      <c r="ED55" s="43">
        <f t="shared" si="30"/>
        <v>0</v>
      </c>
      <c r="EE55" s="43"/>
      <c r="EF55" s="43"/>
      <c r="EG55" s="43" t="e">
        <f t="shared" si="66"/>
        <v>#DIV/0!</v>
      </c>
      <c r="EH55" s="43" t="e">
        <f t="shared" si="66"/>
        <v>#DIV/0!</v>
      </c>
      <c r="EI55" s="43">
        <f t="shared" si="32"/>
        <v>0</v>
      </c>
      <c r="EJ55" s="43">
        <f t="shared" si="32"/>
        <v>0</v>
      </c>
      <c r="EK55" s="43">
        <f t="shared" si="33"/>
        <v>0</v>
      </c>
      <c r="EL55" s="43">
        <f t="shared" si="33"/>
        <v>0</v>
      </c>
      <c r="EM55" s="43">
        <f t="shared" si="34"/>
        <v>0</v>
      </c>
      <c r="EN55" s="43">
        <f t="shared" si="34"/>
        <v>0</v>
      </c>
      <c r="EO55" s="43">
        <v>0</v>
      </c>
      <c r="EP55" s="43">
        <v>0</v>
      </c>
      <c r="EQ55" s="5"/>
      <c r="ER55" s="5"/>
      <c r="ES55" s="5"/>
      <c r="ET55" s="5"/>
      <c r="EU55" s="5">
        <f t="shared" si="88"/>
        <v>0</v>
      </c>
      <c r="EV55" s="5">
        <f t="shared" si="88"/>
        <v>0</v>
      </c>
    </row>
    <row r="56" spans="1:160" ht="18.75" x14ac:dyDescent="0.25">
      <c r="A56" s="68"/>
      <c r="B56" s="68" t="s">
        <v>180</v>
      </c>
      <c r="C56" s="91" t="s">
        <v>122</v>
      </c>
      <c r="D56" s="67" t="s">
        <v>181</v>
      </c>
      <c r="E56" s="69" t="s">
        <v>182</v>
      </c>
      <c r="F56" s="70">
        <f t="shared" ref="F56:BQ56" si="136">+F53+F54+F55</f>
        <v>971.93000000000006</v>
      </c>
      <c r="G56" s="70">
        <f t="shared" si="136"/>
        <v>120.08999999999999</v>
      </c>
      <c r="H56" s="70">
        <f t="shared" si="136"/>
        <v>960</v>
      </c>
      <c r="I56" s="70">
        <f t="shared" si="136"/>
        <v>98.569999999999979</v>
      </c>
      <c r="J56" s="70">
        <f t="shared" si="136"/>
        <v>1090</v>
      </c>
      <c r="K56" s="70">
        <f t="shared" si="136"/>
        <v>0</v>
      </c>
      <c r="L56" s="70">
        <f t="shared" si="136"/>
        <v>0</v>
      </c>
      <c r="M56" s="70">
        <f t="shared" si="136"/>
        <v>1090</v>
      </c>
      <c r="N56" s="70">
        <f t="shared" si="136"/>
        <v>0</v>
      </c>
      <c r="O56" s="70">
        <f t="shared" si="136"/>
        <v>0</v>
      </c>
      <c r="P56" s="70">
        <f t="shared" si="136"/>
        <v>0</v>
      </c>
      <c r="Q56" s="70">
        <f t="shared" si="136"/>
        <v>0</v>
      </c>
      <c r="R56" s="70">
        <f t="shared" si="136"/>
        <v>1090</v>
      </c>
      <c r="S56" s="70">
        <f t="shared" si="136"/>
        <v>113</v>
      </c>
      <c r="T56" s="70">
        <f t="shared" si="136"/>
        <v>0</v>
      </c>
      <c r="U56" s="70">
        <f t="shared" si="136"/>
        <v>0</v>
      </c>
      <c r="V56" s="70">
        <f t="shared" si="136"/>
        <v>1015.97</v>
      </c>
      <c r="W56" s="70">
        <f t="shared" si="136"/>
        <v>101.79</v>
      </c>
      <c r="X56" s="70">
        <f t="shared" si="136"/>
        <v>74.029999999999973</v>
      </c>
      <c r="Y56" s="70">
        <f t="shared" si="136"/>
        <v>11.209999999999994</v>
      </c>
      <c r="Z56" s="70">
        <f t="shared" si="136"/>
        <v>1015.97</v>
      </c>
      <c r="AA56" s="70">
        <f t="shared" si="136"/>
        <v>0</v>
      </c>
      <c r="AB56" s="70">
        <f t="shared" si="136"/>
        <v>1015.97</v>
      </c>
      <c r="AC56" s="70">
        <f t="shared" si="136"/>
        <v>0</v>
      </c>
      <c r="AD56" s="70">
        <f t="shared" si="136"/>
        <v>1015.97</v>
      </c>
      <c r="AE56" s="70">
        <f t="shared" si="136"/>
        <v>101.79</v>
      </c>
      <c r="AF56" s="70">
        <f t="shared" si="136"/>
        <v>101.95</v>
      </c>
      <c r="AG56" s="70">
        <f t="shared" si="136"/>
        <v>254</v>
      </c>
      <c r="AH56" s="70">
        <f t="shared" si="136"/>
        <v>25</v>
      </c>
      <c r="AI56" s="70">
        <f t="shared" si="136"/>
        <v>85</v>
      </c>
      <c r="AJ56" s="70">
        <f t="shared" si="136"/>
        <v>8</v>
      </c>
      <c r="AK56" s="70">
        <f t="shared" si="136"/>
        <v>0</v>
      </c>
      <c r="AL56" s="70">
        <f t="shared" si="136"/>
        <v>0</v>
      </c>
      <c r="AM56" s="70">
        <f t="shared" si="136"/>
        <v>253.99</v>
      </c>
      <c r="AN56" s="70">
        <f t="shared" si="136"/>
        <v>24.79</v>
      </c>
      <c r="AO56" s="70">
        <f t="shared" si="136"/>
        <v>0</v>
      </c>
      <c r="AP56" s="70">
        <f t="shared" si="136"/>
        <v>0</v>
      </c>
      <c r="AQ56" s="70">
        <f t="shared" si="136"/>
        <v>507.99</v>
      </c>
      <c r="AR56" s="70">
        <f t="shared" si="136"/>
        <v>49.79</v>
      </c>
      <c r="AS56" s="70">
        <f t="shared" si="136"/>
        <v>60</v>
      </c>
      <c r="AT56" s="70">
        <f t="shared" si="136"/>
        <v>0</v>
      </c>
      <c r="AU56" s="70">
        <f t="shared" si="136"/>
        <v>253.99</v>
      </c>
      <c r="AV56" s="70">
        <f t="shared" si="136"/>
        <v>0</v>
      </c>
      <c r="AW56" s="70">
        <f t="shared" si="136"/>
        <v>40</v>
      </c>
      <c r="AX56" s="70">
        <f t="shared" si="136"/>
        <v>0</v>
      </c>
      <c r="AY56" s="70">
        <f t="shared" si="136"/>
        <v>946.98</v>
      </c>
      <c r="AZ56" s="70">
        <f t="shared" si="136"/>
        <v>57.79</v>
      </c>
      <c r="BA56" s="70">
        <f t="shared" si="136"/>
        <v>1004.77</v>
      </c>
      <c r="BB56" s="70">
        <f t="shared" si="136"/>
        <v>938.96</v>
      </c>
      <c r="BC56" s="70">
        <f t="shared" si="136"/>
        <v>57.7</v>
      </c>
      <c r="BD56" s="70">
        <f t="shared" si="136"/>
        <v>8.0199999999999818</v>
      </c>
      <c r="BE56" s="70">
        <f t="shared" si="136"/>
        <v>8.9999999999996305E-2</v>
      </c>
      <c r="BF56" s="70">
        <f t="shared" si="136"/>
        <v>187.79</v>
      </c>
      <c r="BG56" s="96">
        <f t="shared" si="136"/>
        <v>11.54</v>
      </c>
      <c r="BH56" s="96">
        <f t="shared" si="136"/>
        <v>63.86</v>
      </c>
      <c r="BI56" s="96">
        <f t="shared" si="136"/>
        <v>0</v>
      </c>
      <c r="BJ56" s="96">
        <f t="shared" si="136"/>
        <v>30</v>
      </c>
      <c r="BK56" s="96">
        <f t="shared" si="136"/>
        <v>5</v>
      </c>
      <c r="BL56" s="96">
        <f t="shared" si="136"/>
        <v>1040.8400000000001</v>
      </c>
      <c r="BM56" s="96">
        <f t="shared" si="136"/>
        <v>62.79</v>
      </c>
      <c r="BN56" s="96">
        <f t="shared" si="136"/>
        <v>1103.6300000000001</v>
      </c>
      <c r="BO56" s="96">
        <f t="shared" si="136"/>
        <v>1036.83</v>
      </c>
      <c r="BP56" s="96">
        <f t="shared" si="136"/>
        <v>57.7</v>
      </c>
      <c r="BQ56" s="70">
        <f t="shared" si="136"/>
        <v>4.0100000000002183</v>
      </c>
      <c r="BR56" s="70">
        <f t="shared" ref="BR56:EC56" si="137">+BR53+BR54+BR55</f>
        <v>5.0899999999999963</v>
      </c>
      <c r="BS56" s="70">
        <f t="shared" si="137"/>
        <v>94.26</v>
      </c>
      <c r="BT56" s="70">
        <f t="shared" si="137"/>
        <v>5.25</v>
      </c>
      <c r="BU56" s="70">
        <f t="shared" si="137"/>
        <v>90.25</v>
      </c>
      <c r="BV56" s="70">
        <f t="shared" si="137"/>
        <v>0</v>
      </c>
      <c r="BW56" s="70">
        <f t="shared" si="137"/>
        <v>5</v>
      </c>
      <c r="BX56" s="70">
        <f t="shared" si="137"/>
        <v>0</v>
      </c>
      <c r="BY56" s="70">
        <f t="shared" si="137"/>
        <v>0</v>
      </c>
      <c r="BZ56" s="70">
        <f t="shared" si="137"/>
        <v>0</v>
      </c>
      <c r="CA56" s="70">
        <f t="shared" si="137"/>
        <v>1136.0900000000001</v>
      </c>
      <c r="CB56" s="70">
        <f t="shared" si="137"/>
        <v>62.79</v>
      </c>
      <c r="CC56" s="70">
        <f t="shared" si="137"/>
        <v>1249.7</v>
      </c>
      <c r="CD56" s="70">
        <f t="shared" si="137"/>
        <v>72.209999999999994</v>
      </c>
      <c r="CE56" s="70">
        <f t="shared" si="137"/>
        <v>104</v>
      </c>
      <c r="CF56" s="70">
        <f t="shared" si="137"/>
        <v>6</v>
      </c>
      <c r="CG56" s="70">
        <f t="shared" si="137"/>
        <v>284.02</v>
      </c>
      <c r="CH56" s="96">
        <f t="shared" si="137"/>
        <v>15.7</v>
      </c>
      <c r="CI56" s="70">
        <f t="shared" si="137"/>
        <v>0</v>
      </c>
      <c r="CJ56" s="70">
        <f t="shared" si="137"/>
        <v>0</v>
      </c>
      <c r="CK56" s="70">
        <f t="shared" si="137"/>
        <v>315</v>
      </c>
      <c r="CL56" s="70">
        <f t="shared" si="137"/>
        <v>0</v>
      </c>
      <c r="CM56" s="70">
        <f t="shared" si="137"/>
        <v>0</v>
      </c>
      <c r="CN56" s="70">
        <f t="shared" si="137"/>
        <v>0</v>
      </c>
      <c r="CO56" s="70">
        <f t="shared" si="137"/>
        <v>1339</v>
      </c>
      <c r="CP56" s="70">
        <f t="shared" si="137"/>
        <v>105</v>
      </c>
      <c r="CQ56" s="70">
        <f t="shared" si="137"/>
        <v>1260</v>
      </c>
      <c r="CR56" s="70">
        <f t="shared" si="137"/>
        <v>0</v>
      </c>
      <c r="CS56" s="70">
        <f t="shared" si="137"/>
        <v>1260</v>
      </c>
      <c r="CT56" s="70">
        <f t="shared" si="137"/>
        <v>105</v>
      </c>
      <c r="CU56" s="70">
        <f t="shared" si="137"/>
        <v>1260</v>
      </c>
      <c r="CV56" s="70">
        <f t="shared" si="137"/>
        <v>107.25</v>
      </c>
      <c r="CW56" s="70">
        <f t="shared" si="137"/>
        <v>315</v>
      </c>
      <c r="CX56" s="70">
        <f t="shared" si="137"/>
        <v>26.25</v>
      </c>
      <c r="CY56" s="70">
        <f t="shared" si="137"/>
        <v>0</v>
      </c>
      <c r="CZ56" s="70">
        <f t="shared" si="137"/>
        <v>75</v>
      </c>
      <c r="DA56" s="70">
        <f t="shared" si="137"/>
        <v>734</v>
      </c>
      <c r="DB56" s="70">
        <f t="shared" si="137"/>
        <v>107.25</v>
      </c>
      <c r="DC56" s="70">
        <f t="shared" si="137"/>
        <v>710.98</v>
      </c>
      <c r="DD56" s="70">
        <f t="shared" si="137"/>
        <v>103.19</v>
      </c>
      <c r="DE56" s="70">
        <f t="shared" si="137"/>
        <v>23.019999999999982</v>
      </c>
      <c r="DF56" s="70">
        <f t="shared" si="137"/>
        <v>4.0600000000000023</v>
      </c>
      <c r="DG56" s="70">
        <f t="shared" si="137"/>
        <v>315</v>
      </c>
      <c r="DH56" s="70">
        <f t="shared" si="137"/>
        <v>26.25</v>
      </c>
      <c r="DI56" s="70">
        <f t="shared" si="137"/>
        <v>291.98</v>
      </c>
      <c r="DJ56" s="70">
        <f t="shared" si="137"/>
        <v>0</v>
      </c>
      <c r="DK56" s="70">
        <f t="shared" si="137"/>
        <v>12</v>
      </c>
      <c r="DL56" s="70">
        <f t="shared" si="137"/>
        <v>0</v>
      </c>
      <c r="DM56" s="70">
        <f t="shared" si="137"/>
        <v>1037.98</v>
      </c>
      <c r="DN56" s="70">
        <f t="shared" si="137"/>
        <v>107.25</v>
      </c>
      <c r="DO56" s="97">
        <f t="shared" si="137"/>
        <v>1037.5999999999999</v>
      </c>
      <c r="DP56" s="98">
        <f t="shared" si="137"/>
        <v>104.45</v>
      </c>
      <c r="DQ56" s="98">
        <f t="shared" si="137"/>
        <v>0.38</v>
      </c>
      <c r="DR56" s="98">
        <f t="shared" si="137"/>
        <v>2.8</v>
      </c>
      <c r="DS56" s="98">
        <f t="shared" si="137"/>
        <v>103.75999999999999</v>
      </c>
      <c r="DT56" s="98">
        <f t="shared" si="137"/>
        <v>10.445</v>
      </c>
      <c r="DU56" s="98">
        <f t="shared" si="137"/>
        <v>103.38</v>
      </c>
      <c r="DV56" s="98">
        <f t="shared" si="137"/>
        <v>7.6450000000000005</v>
      </c>
      <c r="DW56" s="98">
        <f t="shared" si="137"/>
        <v>0</v>
      </c>
      <c r="DX56" s="98">
        <f t="shared" si="137"/>
        <v>0</v>
      </c>
      <c r="DY56" s="98">
        <f t="shared" si="137"/>
        <v>103.38</v>
      </c>
      <c r="DZ56" s="98">
        <f t="shared" si="137"/>
        <v>7.65</v>
      </c>
      <c r="EA56" s="98">
        <f t="shared" si="137"/>
        <v>0</v>
      </c>
      <c r="EB56" s="134">
        <f t="shared" si="137"/>
        <v>0</v>
      </c>
      <c r="EC56" s="140">
        <f t="shared" si="137"/>
        <v>1141.3600000000001</v>
      </c>
      <c r="ED56" s="140">
        <f t="shared" ref="ED56:FD56" si="138">+ED53+ED54+ED55</f>
        <v>114.9</v>
      </c>
      <c r="EE56" s="140">
        <f t="shared" si="138"/>
        <v>1131.76</v>
      </c>
      <c r="EF56" s="140">
        <f t="shared" si="138"/>
        <v>104.45</v>
      </c>
      <c r="EG56" s="140" t="e">
        <f t="shared" si="138"/>
        <v>#DIV/0!</v>
      </c>
      <c r="EH56" s="140" t="e">
        <f t="shared" si="138"/>
        <v>#DIV/0!</v>
      </c>
      <c r="EI56" s="140">
        <f t="shared" si="138"/>
        <v>9.6</v>
      </c>
      <c r="EJ56" s="140">
        <f t="shared" si="138"/>
        <v>10.45</v>
      </c>
      <c r="EK56" s="140">
        <f t="shared" si="138"/>
        <v>102.89</v>
      </c>
      <c r="EL56" s="140">
        <f t="shared" si="138"/>
        <v>9.5</v>
      </c>
      <c r="EM56" s="140">
        <f t="shared" si="138"/>
        <v>93.29</v>
      </c>
      <c r="EN56" s="140">
        <f t="shared" si="138"/>
        <v>-0.94999999999999929</v>
      </c>
      <c r="EO56" s="140">
        <f t="shared" si="138"/>
        <v>103</v>
      </c>
      <c r="EP56" s="140">
        <f t="shared" si="138"/>
        <v>0</v>
      </c>
      <c r="EQ56" s="136">
        <f t="shared" si="138"/>
        <v>0</v>
      </c>
      <c r="ER56" s="47">
        <f t="shared" si="138"/>
        <v>0</v>
      </c>
      <c r="ES56" s="47">
        <f t="shared" si="138"/>
        <v>0</v>
      </c>
      <c r="ET56" s="47">
        <f t="shared" si="138"/>
        <v>0</v>
      </c>
      <c r="EU56" s="5">
        <f t="shared" si="88"/>
        <v>15.639999999999873</v>
      </c>
      <c r="EV56" s="5">
        <f t="shared" si="88"/>
        <v>5.0999999999999943</v>
      </c>
      <c r="EW56" s="46">
        <f t="shared" si="138"/>
        <v>1260</v>
      </c>
      <c r="EX56" s="46">
        <f t="shared" si="138"/>
        <v>120</v>
      </c>
      <c r="EY56" s="46">
        <f t="shared" si="138"/>
        <v>0</v>
      </c>
      <c r="EZ56" s="46">
        <f t="shared" si="138"/>
        <v>0</v>
      </c>
      <c r="FA56" s="46">
        <f t="shared" si="138"/>
        <v>0</v>
      </c>
      <c r="FB56" s="46">
        <f t="shared" si="138"/>
        <v>0</v>
      </c>
      <c r="FC56" s="46">
        <f t="shared" si="138"/>
        <v>0</v>
      </c>
      <c r="FD56" s="46">
        <f t="shared" si="138"/>
        <v>0</v>
      </c>
    </row>
    <row r="57" spans="1:160" ht="18.75" x14ac:dyDescent="0.25">
      <c r="A57" s="37">
        <v>39</v>
      </c>
      <c r="B57" s="37"/>
      <c r="C57" s="91" t="s">
        <v>183</v>
      </c>
      <c r="D57" s="38" t="s">
        <v>184</v>
      </c>
      <c r="E57" s="39"/>
      <c r="F57" s="40">
        <v>749.75</v>
      </c>
      <c r="G57" s="40">
        <v>52.2</v>
      </c>
      <c r="H57" s="40">
        <v>749.75</v>
      </c>
      <c r="I57" s="40">
        <v>37.450000000000003</v>
      </c>
      <c r="J57" s="41">
        <v>780</v>
      </c>
      <c r="K57" s="41">
        <v>0</v>
      </c>
      <c r="L57" s="41">
        <v>0</v>
      </c>
      <c r="M57" s="41">
        <f>J57+K57+L57</f>
        <v>780</v>
      </c>
      <c r="N57" s="41">
        <v>0</v>
      </c>
      <c r="O57" s="41">
        <v>0</v>
      </c>
      <c r="P57" s="41">
        <v>0</v>
      </c>
      <c r="Q57" s="41">
        <f>N57+O57+P57</f>
        <v>0</v>
      </c>
      <c r="R57" s="41">
        <f t="shared" si="106"/>
        <v>780</v>
      </c>
      <c r="S57" s="41">
        <v>0</v>
      </c>
      <c r="T57" s="92"/>
      <c r="U57" s="92"/>
      <c r="V57" s="40">
        <f t="shared" ref="V57:V58" si="139">ROUND(H57*1.0583,2)</f>
        <v>793.46</v>
      </c>
      <c r="W57" s="40">
        <f t="shared" ref="W57:W58" si="140">ROUND(I57*1.0327,2)</f>
        <v>38.67</v>
      </c>
      <c r="X57" s="43">
        <f t="shared" si="2"/>
        <v>-13.460000000000036</v>
      </c>
      <c r="Y57" s="43">
        <f t="shared" si="2"/>
        <v>-38.67</v>
      </c>
      <c r="Z57" s="43">
        <v>780</v>
      </c>
      <c r="AA57" s="43"/>
      <c r="AB57" s="43">
        <f t="shared" si="3"/>
        <v>780</v>
      </c>
      <c r="AC57" s="43">
        <f t="shared" si="4"/>
        <v>0</v>
      </c>
      <c r="AD57" s="43">
        <f t="shared" ref="AD57:AE58" si="141">IF(X57&gt;0,V57,R57)</f>
        <v>780</v>
      </c>
      <c r="AE57" s="43">
        <f>IF(Y57&gt;0,W57,S57)+12.95</f>
        <v>12.95</v>
      </c>
      <c r="AF57" s="43">
        <f t="shared" si="5"/>
        <v>0</v>
      </c>
      <c r="AG57" s="43">
        <f t="shared" si="6"/>
        <v>195</v>
      </c>
      <c r="AH57" s="43">
        <f>ROUND(AE57/4,0)-3</f>
        <v>0</v>
      </c>
      <c r="AI57" s="93">
        <f t="shared" si="7"/>
        <v>65</v>
      </c>
      <c r="AJ57" s="43">
        <f>ROUND(AE57/12,0)-1</f>
        <v>0</v>
      </c>
      <c r="AK57" s="43"/>
      <c r="AL57" s="43">
        <v>12.95</v>
      </c>
      <c r="AM57" s="43">
        <f t="shared" si="8"/>
        <v>195</v>
      </c>
      <c r="AN57" s="43">
        <f>ROUND(AE57*24.35%,2)-3.15</f>
        <v>0</v>
      </c>
      <c r="AO57" s="43"/>
      <c r="AP57" s="43"/>
      <c r="AQ57" s="43">
        <f t="shared" si="10"/>
        <v>390</v>
      </c>
      <c r="AR57" s="43">
        <f t="shared" si="10"/>
        <v>12.95</v>
      </c>
      <c r="AS57" s="43">
        <v>25</v>
      </c>
      <c r="AT57" s="43"/>
      <c r="AU57" s="43">
        <f>ROUND(AD57*25%,2)+10</f>
        <v>205</v>
      </c>
      <c r="AV57" s="43">
        <f>ROUND(AE57*25%,2)-1.69+0.2</f>
        <v>1.7500000000000002</v>
      </c>
      <c r="AW57" s="43"/>
      <c r="AX57" s="43"/>
      <c r="AY57" s="43">
        <f t="shared" si="11"/>
        <v>685</v>
      </c>
      <c r="AZ57" s="43">
        <f t="shared" si="11"/>
        <v>14.7</v>
      </c>
      <c r="BA57" s="43">
        <f t="shared" si="12"/>
        <v>699.7</v>
      </c>
      <c r="BB57" s="60">
        <v>674.75</v>
      </c>
      <c r="BC57" s="60">
        <v>14.47</v>
      </c>
      <c r="BD57" s="60">
        <f t="shared" si="13"/>
        <v>10.25</v>
      </c>
      <c r="BE57" s="60">
        <f t="shared" si="13"/>
        <v>0.22999999999999865</v>
      </c>
      <c r="BF57" s="60">
        <f t="shared" si="14"/>
        <v>134.94999999999999</v>
      </c>
      <c r="BG57" s="60">
        <f t="shared" si="14"/>
        <v>2.89</v>
      </c>
      <c r="BH57" s="43">
        <v>62.35</v>
      </c>
      <c r="BI57" s="43">
        <v>0</v>
      </c>
      <c r="BJ57" s="43"/>
      <c r="BK57" s="43"/>
      <c r="BL57" s="43">
        <f t="shared" si="1"/>
        <v>747.35</v>
      </c>
      <c r="BM57" s="43">
        <f t="shared" si="1"/>
        <v>14.7</v>
      </c>
      <c r="BN57" s="43">
        <f t="shared" si="15"/>
        <v>762.05000000000007</v>
      </c>
      <c r="BO57" s="43">
        <v>743.89</v>
      </c>
      <c r="BP57" s="93">
        <v>14.7</v>
      </c>
      <c r="BQ57" s="43">
        <f t="shared" si="16"/>
        <v>3.4600000000000364</v>
      </c>
      <c r="BR57" s="43">
        <f t="shared" si="16"/>
        <v>0</v>
      </c>
      <c r="BS57" s="43">
        <f t="shared" si="17"/>
        <v>67.63</v>
      </c>
      <c r="BT57" s="43">
        <f t="shared" si="17"/>
        <v>1.34</v>
      </c>
      <c r="BU57" s="43">
        <f>BS57-BQ57+15+1.48</f>
        <v>80.649999999999963</v>
      </c>
      <c r="BV57" s="43">
        <v>0</v>
      </c>
      <c r="BW57" s="43"/>
      <c r="BX57" s="43"/>
      <c r="BY57" s="43"/>
      <c r="BZ57" s="43"/>
      <c r="CA57" s="43">
        <v>828</v>
      </c>
      <c r="CB57" s="43">
        <v>14.7</v>
      </c>
      <c r="CC57" s="92">
        <v>910.8</v>
      </c>
      <c r="CD57" s="92">
        <v>16.91</v>
      </c>
      <c r="CE57" s="92">
        <v>76</v>
      </c>
      <c r="CF57" s="92">
        <v>1</v>
      </c>
      <c r="CG57" s="92">
        <f t="shared" si="19"/>
        <v>207</v>
      </c>
      <c r="CH57" s="92">
        <f t="shared" si="19"/>
        <v>3.68</v>
      </c>
      <c r="CI57" s="43"/>
      <c r="CJ57" s="43"/>
      <c r="CK57" s="43">
        <v>220</v>
      </c>
      <c r="CL57" s="43">
        <v>0</v>
      </c>
      <c r="CM57" s="43"/>
      <c r="CN57" s="43"/>
      <c r="CO57" s="43">
        <v>885</v>
      </c>
      <c r="CP57" s="72">
        <v>45</v>
      </c>
      <c r="CQ57" s="43">
        <f t="shared" si="20"/>
        <v>880</v>
      </c>
      <c r="CR57" s="43">
        <f t="shared" si="20"/>
        <v>0</v>
      </c>
      <c r="CS57" s="43">
        <f t="shared" si="21"/>
        <v>880</v>
      </c>
      <c r="CT57" s="43">
        <f>IF(CP57&lt;CR57,CP57,CR57)+45</f>
        <v>45</v>
      </c>
      <c r="CU57" s="43">
        <f t="shared" si="21"/>
        <v>880</v>
      </c>
      <c r="CV57" s="43">
        <v>1</v>
      </c>
      <c r="CW57" s="43">
        <f t="shared" si="22"/>
        <v>220</v>
      </c>
      <c r="CX57" s="43">
        <f>ROUND(CV57*25%,2)-0.25</f>
        <v>0</v>
      </c>
      <c r="CY57" s="43"/>
      <c r="CZ57" s="43"/>
      <c r="DA57" s="43">
        <f t="shared" si="23"/>
        <v>516</v>
      </c>
      <c r="DB57" s="43">
        <f t="shared" si="23"/>
        <v>1</v>
      </c>
      <c r="DC57" s="43">
        <v>509.18</v>
      </c>
      <c r="DD57" s="43">
        <v>0</v>
      </c>
      <c r="DE57" s="43">
        <f t="shared" si="24"/>
        <v>6.8199999999999932</v>
      </c>
      <c r="DF57" s="43">
        <f t="shared" si="24"/>
        <v>1</v>
      </c>
      <c r="DG57" s="43">
        <f>ROUND(0.25*(MIN(CU57,EW57)),2)</f>
        <v>220</v>
      </c>
      <c r="DH57" s="43">
        <f>ROUND(0.25*(MIN(CV57,EX57)),2)</f>
        <v>0.25</v>
      </c>
      <c r="DI57" s="43">
        <f>+DG57-DE57</f>
        <v>213.18</v>
      </c>
      <c r="DJ57" s="43">
        <f>+DH57-DF57+0.75</f>
        <v>0</v>
      </c>
      <c r="DK57" s="43"/>
      <c r="DL57" s="43"/>
      <c r="DM57" s="43">
        <f t="shared" si="25"/>
        <v>729.18000000000006</v>
      </c>
      <c r="DN57" s="43">
        <f t="shared" si="25"/>
        <v>1</v>
      </c>
      <c r="DO57" s="94">
        <v>742.13</v>
      </c>
      <c r="DP57" s="95">
        <v>0</v>
      </c>
      <c r="DQ57" s="60">
        <f t="shared" si="26"/>
        <v>-12.95</v>
      </c>
      <c r="DR57" s="60">
        <f t="shared" si="26"/>
        <v>1</v>
      </c>
      <c r="DS57" s="60">
        <f t="shared" si="27"/>
        <v>74.212999999999994</v>
      </c>
      <c r="DT57" s="60">
        <f t="shared" si="27"/>
        <v>0</v>
      </c>
      <c r="DU57" s="60">
        <f t="shared" si="28"/>
        <v>87.162999999999997</v>
      </c>
      <c r="DV57" s="60">
        <f t="shared" si="28"/>
        <v>-1</v>
      </c>
      <c r="DW57" s="60"/>
      <c r="DX57" s="60"/>
      <c r="DY57" s="60">
        <f t="shared" si="29"/>
        <v>87.16</v>
      </c>
      <c r="DZ57" s="60">
        <v>0</v>
      </c>
      <c r="EA57" s="60"/>
      <c r="EB57" s="60"/>
      <c r="EC57" s="43">
        <f t="shared" si="30"/>
        <v>816.34</v>
      </c>
      <c r="ED57" s="43">
        <f t="shared" si="30"/>
        <v>1</v>
      </c>
      <c r="EE57" s="43">
        <v>816.39</v>
      </c>
      <c r="EF57" s="43">
        <v>0</v>
      </c>
      <c r="EG57" s="43">
        <f t="shared" si="66"/>
        <v>100.01</v>
      </c>
      <c r="EH57" s="43">
        <f t="shared" si="66"/>
        <v>0</v>
      </c>
      <c r="EI57" s="43">
        <f t="shared" si="32"/>
        <v>-0.05</v>
      </c>
      <c r="EJ57" s="43">
        <f t="shared" si="32"/>
        <v>1</v>
      </c>
      <c r="EK57" s="43">
        <f t="shared" si="33"/>
        <v>74.22</v>
      </c>
      <c r="EL57" s="43">
        <f t="shared" si="33"/>
        <v>0</v>
      </c>
      <c r="EM57" s="43">
        <f t="shared" si="34"/>
        <v>74.27</v>
      </c>
      <c r="EN57" s="43">
        <f t="shared" si="34"/>
        <v>-1</v>
      </c>
      <c r="EO57" s="43">
        <v>100</v>
      </c>
      <c r="EP57" s="43">
        <v>0</v>
      </c>
      <c r="EQ57" s="5"/>
      <c r="ER57" s="5"/>
      <c r="ES57" s="5"/>
      <c r="ET57" s="5"/>
      <c r="EU57" s="5">
        <f t="shared" si="88"/>
        <v>-36.340000000000032</v>
      </c>
      <c r="EV57" s="5">
        <f t="shared" si="88"/>
        <v>0</v>
      </c>
      <c r="EW57" s="5">
        <v>880</v>
      </c>
      <c r="EX57" s="58">
        <f>0+1</f>
        <v>1</v>
      </c>
      <c r="EY57" s="5">
        <v>930</v>
      </c>
      <c r="EZ57" s="5">
        <v>0</v>
      </c>
    </row>
    <row r="58" spans="1:160" ht="18.75" x14ac:dyDescent="0.25">
      <c r="A58" s="37">
        <v>40</v>
      </c>
      <c r="B58" s="37"/>
      <c r="C58" s="91" t="s">
        <v>183</v>
      </c>
      <c r="D58" s="38" t="s">
        <v>185</v>
      </c>
      <c r="E58" s="39"/>
      <c r="F58" s="40">
        <v>929.07999999999993</v>
      </c>
      <c r="G58" s="40">
        <v>0</v>
      </c>
      <c r="H58" s="40">
        <v>929.07999999999993</v>
      </c>
      <c r="I58" s="40">
        <v>0</v>
      </c>
      <c r="J58" s="41">
        <v>950</v>
      </c>
      <c r="K58" s="41">
        <v>0</v>
      </c>
      <c r="L58" s="41">
        <v>0</v>
      </c>
      <c r="M58" s="41">
        <f>J58+K58+L58</f>
        <v>950</v>
      </c>
      <c r="N58" s="41">
        <v>100</v>
      </c>
      <c r="O58" s="41">
        <v>0</v>
      </c>
      <c r="P58" s="41">
        <v>0</v>
      </c>
      <c r="Q58" s="41">
        <f>N58+O58+P58</f>
        <v>100</v>
      </c>
      <c r="R58" s="41">
        <f t="shared" si="106"/>
        <v>1050</v>
      </c>
      <c r="S58" s="41">
        <v>0</v>
      </c>
      <c r="T58" s="92"/>
      <c r="U58" s="92"/>
      <c r="V58" s="40">
        <f t="shared" si="139"/>
        <v>983.25</v>
      </c>
      <c r="W58" s="40">
        <f t="shared" si="140"/>
        <v>0</v>
      </c>
      <c r="X58" s="43">
        <f t="shared" si="2"/>
        <v>66.75</v>
      </c>
      <c r="Y58" s="43">
        <f t="shared" si="2"/>
        <v>0</v>
      </c>
      <c r="Z58" s="43">
        <v>900</v>
      </c>
      <c r="AA58" s="43">
        <v>83.25</v>
      </c>
      <c r="AB58" s="43">
        <f t="shared" si="3"/>
        <v>983.25</v>
      </c>
      <c r="AC58" s="43">
        <f t="shared" si="4"/>
        <v>0</v>
      </c>
      <c r="AD58" s="43">
        <f t="shared" si="141"/>
        <v>983.25</v>
      </c>
      <c r="AE58" s="43">
        <f t="shared" si="141"/>
        <v>0</v>
      </c>
      <c r="AF58" s="43">
        <f t="shared" si="5"/>
        <v>0</v>
      </c>
      <c r="AG58" s="43">
        <f t="shared" si="6"/>
        <v>246</v>
      </c>
      <c r="AH58" s="43">
        <f t="shared" si="6"/>
        <v>0</v>
      </c>
      <c r="AI58" s="93">
        <f t="shared" si="7"/>
        <v>82</v>
      </c>
      <c r="AJ58" s="43">
        <f t="shared" si="7"/>
        <v>0</v>
      </c>
      <c r="AK58" s="43"/>
      <c r="AL58" s="43"/>
      <c r="AM58" s="43">
        <f t="shared" si="8"/>
        <v>245.81</v>
      </c>
      <c r="AN58" s="43">
        <f t="shared" si="9"/>
        <v>0</v>
      </c>
      <c r="AO58" s="43"/>
      <c r="AP58" s="43"/>
      <c r="AQ58" s="43">
        <f t="shared" si="10"/>
        <v>491.81</v>
      </c>
      <c r="AR58" s="43">
        <f t="shared" si="10"/>
        <v>0</v>
      </c>
      <c r="AS58" s="43"/>
      <c r="AT58" s="43"/>
      <c r="AU58" s="43">
        <f t="shared" si="0"/>
        <v>245.81</v>
      </c>
      <c r="AV58" s="43">
        <f t="shared" si="0"/>
        <v>0</v>
      </c>
      <c r="AW58" s="43"/>
      <c r="AX58" s="43"/>
      <c r="AY58" s="43">
        <f t="shared" si="11"/>
        <v>819.62</v>
      </c>
      <c r="AZ58" s="43">
        <f t="shared" si="11"/>
        <v>0</v>
      </c>
      <c r="BA58" s="43">
        <f t="shared" si="12"/>
        <v>819.62</v>
      </c>
      <c r="BB58" s="60">
        <v>818.92</v>
      </c>
      <c r="BC58" s="60"/>
      <c r="BD58" s="60">
        <f t="shared" si="13"/>
        <v>0.70000000000004547</v>
      </c>
      <c r="BE58" s="60">
        <f t="shared" si="13"/>
        <v>0</v>
      </c>
      <c r="BF58" s="60">
        <f t="shared" si="14"/>
        <v>163.78</v>
      </c>
      <c r="BG58" s="60">
        <f t="shared" si="14"/>
        <v>0</v>
      </c>
      <c r="BH58" s="43">
        <v>81.540000000000006</v>
      </c>
      <c r="BI58" s="43">
        <v>0</v>
      </c>
      <c r="BJ58" s="43"/>
      <c r="BK58" s="43"/>
      <c r="BL58" s="43">
        <f t="shared" si="1"/>
        <v>901.16</v>
      </c>
      <c r="BM58" s="43">
        <f t="shared" si="1"/>
        <v>0</v>
      </c>
      <c r="BN58" s="43">
        <f t="shared" si="15"/>
        <v>901.16</v>
      </c>
      <c r="BO58" s="43">
        <v>818.92</v>
      </c>
      <c r="BP58" s="93"/>
      <c r="BQ58" s="43">
        <f t="shared" si="16"/>
        <v>82.240000000000009</v>
      </c>
      <c r="BR58" s="43">
        <f t="shared" si="16"/>
        <v>0</v>
      </c>
      <c r="BS58" s="43">
        <f t="shared" si="17"/>
        <v>74.45</v>
      </c>
      <c r="BT58" s="43">
        <f t="shared" si="17"/>
        <v>0</v>
      </c>
      <c r="BU58" s="43">
        <v>0</v>
      </c>
      <c r="BV58" s="43">
        <f t="shared" si="99"/>
        <v>0</v>
      </c>
      <c r="BW58" s="43">
        <v>248.84</v>
      </c>
      <c r="BX58" s="43"/>
      <c r="BY58" s="43"/>
      <c r="BZ58" s="43"/>
      <c r="CA58" s="43">
        <v>1150</v>
      </c>
      <c r="CB58" s="43">
        <v>0</v>
      </c>
      <c r="CC58" s="92">
        <v>1265</v>
      </c>
      <c r="CD58" s="92">
        <v>0</v>
      </c>
      <c r="CE58" s="92">
        <v>105</v>
      </c>
      <c r="CF58" s="92">
        <v>0</v>
      </c>
      <c r="CG58" s="92">
        <f t="shared" si="19"/>
        <v>287.5</v>
      </c>
      <c r="CH58" s="92">
        <f t="shared" si="19"/>
        <v>0</v>
      </c>
      <c r="CI58" s="43"/>
      <c r="CJ58" s="43"/>
      <c r="CK58" s="43">
        <v>300</v>
      </c>
      <c r="CL58" s="43">
        <v>0</v>
      </c>
      <c r="CM58" s="43"/>
      <c r="CN58" s="43"/>
      <c r="CO58" s="43">
        <v>1200</v>
      </c>
      <c r="CP58" s="43"/>
      <c r="CQ58" s="43">
        <f t="shared" si="20"/>
        <v>1200</v>
      </c>
      <c r="CR58" s="43">
        <f t="shared" si="20"/>
        <v>0</v>
      </c>
      <c r="CS58" s="43">
        <f t="shared" si="21"/>
        <v>1200</v>
      </c>
      <c r="CT58" s="43">
        <f t="shared" si="21"/>
        <v>0</v>
      </c>
      <c r="CU58" s="43">
        <f t="shared" si="21"/>
        <v>1200</v>
      </c>
      <c r="CV58" s="43">
        <v>0</v>
      </c>
      <c r="CW58" s="43">
        <f t="shared" si="22"/>
        <v>300</v>
      </c>
      <c r="CX58" s="43">
        <f t="shared" si="22"/>
        <v>0</v>
      </c>
      <c r="CY58" s="43"/>
      <c r="CZ58" s="43"/>
      <c r="DA58" s="43">
        <f t="shared" si="23"/>
        <v>705</v>
      </c>
      <c r="DB58" s="43">
        <f t="shared" si="23"/>
        <v>0</v>
      </c>
      <c r="DC58" s="43">
        <v>669</v>
      </c>
      <c r="DD58" s="43">
        <v>0</v>
      </c>
      <c r="DE58" s="43">
        <f t="shared" si="24"/>
        <v>36</v>
      </c>
      <c r="DF58" s="43">
        <f t="shared" si="24"/>
        <v>0</v>
      </c>
      <c r="DG58" s="43">
        <f>ROUND(0.25*(MIN(CU58,EW58)),2)</f>
        <v>300</v>
      </c>
      <c r="DH58" s="43">
        <f>ROUND(0.25*(MIN(CV58,EX58)),2)</f>
        <v>0</v>
      </c>
      <c r="DI58" s="43">
        <f>+DG58-DE58</f>
        <v>264</v>
      </c>
      <c r="DJ58" s="43">
        <f>+DH58-DF58</f>
        <v>0</v>
      </c>
      <c r="DK58" s="43"/>
      <c r="DL58" s="43"/>
      <c r="DM58" s="43">
        <f t="shared" si="25"/>
        <v>969</v>
      </c>
      <c r="DN58" s="43">
        <f t="shared" si="25"/>
        <v>0</v>
      </c>
      <c r="DO58" s="94">
        <v>969</v>
      </c>
      <c r="DP58" s="95">
        <v>0</v>
      </c>
      <c r="DQ58" s="60">
        <f t="shared" si="26"/>
        <v>0</v>
      </c>
      <c r="DR58" s="60">
        <f t="shared" si="26"/>
        <v>0</v>
      </c>
      <c r="DS58" s="60">
        <f t="shared" si="27"/>
        <v>96.9</v>
      </c>
      <c r="DT58" s="60">
        <f t="shared" si="27"/>
        <v>0</v>
      </c>
      <c r="DU58" s="60">
        <f t="shared" si="28"/>
        <v>96.9</v>
      </c>
      <c r="DV58" s="60">
        <f t="shared" si="28"/>
        <v>0</v>
      </c>
      <c r="DW58" s="60"/>
      <c r="DX58" s="60"/>
      <c r="DY58" s="60">
        <f t="shared" si="29"/>
        <v>96.9</v>
      </c>
      <c r="DZ58" s="60">
        <f t="shared" si="29"/>
        <v>0</v>
      </c>
      <c r="EA58" s="60"/>
      <c r="EB58" s="60"/>
      <c r="EC58" s="43">
        <f t="shared" si="30"/>
        <v>1065.9000000000001</v>
      </c>
      <c r="ED58" s="43">
        <f t="shared" si="30"/>
        <v>0</v>
      </c>
      <c r="EE58" s="43">
        <v>969</v>
      </c>
      <c r="EF58" s="43">
        <v>0</v>
      </c>
      <c r="EG58" s="43">
        <f t="shared" si="66"/>
        <v>90.91</v>
      </c>
      <c r="EH58" s="43" t="e">
        <f t="shared" si="66"/>
        <v>#DIV/0!</v>
      </c>
      <c r="EI58" s="43">
        <f t="shared" si="32"/>
        <v>96.9</v>
      </c>
      <c r="EJ58" s="43">
        <f t="shared" si="32"/>
        <v>0</v>
      </c>
      <c r="EK58" s="43">
        <f t="shared" si="33"/>
        <v>88.09</v>
      </c>
      <c r="EL58" s="43">
        <f t="shared" si="33"/>
        <v>0</v>
      </c>
      <c r="EM58" s="43">
        <f t="shared" si="34"/>
        <v>-8.8100000000000023</v>
      </c>
      <c r="EN58" s="43">
        <f t="shared" si="34"/>
        <v>0</v>
      </c>
      <c r="EO58" s="43">
        <v>0</v>
      </c>
      <c r="EP58" s="43">
        <v>0</v>
      </c>
      <c r="EQ58" s="5"/>
      <c r="ER58" s="5"/>
      <c r="ES58" s="5"/>
      <c r="ET58" s="5"/>
      <c r="EU58" s="5">
        <f t="shared" si="88"/>
        <v>134.09999999999991</v>
      </c>
      <c r="EV58" s="5">
        <f t="shared" si="88"/>
        <v>0</v>
      </c>
      <c r="EW58" s="5">
        <v>1200</v>
      </c>
      <c r="EX58" s="5">
        <v>0</v>
      </c>
      <c r="EY58" s="5">
        <v>1250</v>
      </c>
      <c r="EZ58" s="5">
        <v>0</v>
      </c>
    </row>
    <row r="59" spans="1:160" ht="18.75" x14ac:dyDescent="0.25">
      <c r="A59" s="68"/>
      <c r="B59" s="68" t="s">
        <v>186</v>
      </c>
      <c r="C59" s="91" t="s">
        <v>183</v>
      </c>
      <c r="D59" s="67" t="s">
        <v>184</v>
      </c>
      <c r="E59" s="69" t="s">
        <v>187</v>
      </c>
      <c r="F59" s="70">
        <v>1678.83</v>
      </c>
      <c r="G59" s="70">
        <v>52.2</v>
      </c>
      <c r="H59" s="70">
        <v>1678.83</v>
      </c>
      <c r="I59" s="70">
        <v>37.450000000000003</v>
      </c>
      <c r="J59" s="71">
        <f t="shared" ref="J59:AA59" si="142">+J57+J58</f>
        <v>1730</v>
      </c>
      <c r="K59" s="71">
        <f t="shared" si="142"/>
        <v>0</v>
      </c>
      <c r="L59" s="71">
        <f t="shared" si="142"/>
        <v>0</v>
      </c>
      <c r="M59" s="71">
        <f t="shared" si="142"/>
        <v>1730</v>
      </c>
      <c r="N59" s="71">
        <f t="shared" si="142"/>
        <v>100</v>
      </c>
      <c r="O59" s="71">
        <f t="shared" si="142"/>
        <v>0</v>
      </c>
      <c r="P59" s="71">
        <f t="shared" si="142"/>
        <v>0</v>
      </c>
      <c r="Q59" s="71">
        <f t="shared" si="142"/>
        <v>100</v>
      </c>
      <c r="R59" s="71">
        <f t="shared" si="142"/>
        <v>1830</v>
      </c>
      <c r="S59" s="71">
        <f t="shared" si="142"/>
        <v>0</v>
      </c>
      <c r="T59" s="71">
        <f t="shared" si="142"/>
        <v>0</v>
      </c>
      <c r="U59" s="71">
        <f t="shared" si="142"/>
        <v>0</v>
      </c>
      <c r="V59" s="71">
        <f t="shared" si="142"/>
        <v>1776.71</v>
      </c>
      <c r="W59" s="71">
        <f t="shared" si="142"/>
        <v>38.67</v>
      </c>
      <c r="X59" s="71">
        <f t="shared" si="142"/>
        <v>53.289999999999964</v>
      </c>
      <c r="Y59" s="71">
        <f t="shared" si="142"/>
        <v>-38.67</v>
      </c>
      <c r="Z59" s="71">
        <f t="shared" si="142"/>
        <v>1680</v>
      </c>
      <c r="AA59" s="71">
        <f t="shared" si="142"/>
        <v>83.25</v>
      </c>
      <c r="AB59" s="70">
        <f t="shared" si="3"/>
        <v>1763.25</v>
      </c>
      <c r="AC59" s="43">
        <f t="shared" si="4"/>
        <v>0</v>
      </c>
      <c r="AD59" s="70">
        <f t="shared" ref="AD59:CP59" si="143">+AD57+AD58</f>
        <v>1763.25</v>
      </c>
      <c r="AE59" s="70">
        <f t="shared" si="143"/>
        <v>12.95</v>
      </c>
      <c r="AF59" s="70">
        <f t="shared" si="143"/>
        <v>0</v>
      </c>
      <c r="AG59" s="70">
        <f t="shared" si="143"/>
        <v>441</v>
      </c>
      <c r="AH59" s="70">
        <f t="shared" si="143"/>
        <v>0</v>
      </c>
      <c r="AI59" s="96">
        <f t="shared" si="143"/>
        <v>147</v>
      </c>
      <c r="AJ59" s="70">
        <f t="shared" si="143"/>
        <v>0</v>
      </c>
      <c r="AK59" s="70">
        <f t="shared" si="143"/>
        <v>0</v>
      </c>
      <c r="AL59" s="70">
        <f t="shared" si="143"/>
        <v>12.95</v>
      </c>
      <c r="AM59" s="70">
        <f t="shared" si="143"/>
        <v>440.81</v>
      </c>
      <c r="AN59" s="70">
        <f t="shared" si="143"/>
        <v>0</v>
      </c>
      <c r="AO59" s="70">
        <f t="shared" si="143"/>
        <v>0</v>
      </c>
      <c r="AP59" s="70">
        <f t="shared" si="143"/>
        <v>0</v>
      </c>
      <c r="AQ59" s="70">
        <f t="shared" si="143"/>
        <v>881.81</v>
      </c>
      <c r="AR59" s="70">
        <f t="shared" si="143"/>
        <v>12.95</v>
      </c>
      <c r="AS59" s="70">
        <f t="shared" si="143"/>
        <v>25</v>
      </c>
      <c r="AT59" s="70">
        <f t="shared" si="143"/>
        <v>0</v>
      </c>
      <c r="AU59" s="70">
        <f t="shared" si="143"/>
        <v>450.81</v>
      </c>
      <c r="AV59" s="70">
        <f t="shared" si="143"/>
        <v>1.7500000000000002</v>
      </c>
      <c r="AW59" s="70">
        <f t="shared" si="143"/>
        <v>0</v>
      </c>
      <c r="AX59" s="70">
        <f t="shared" si="143"/>
        <v>0</v>
      </c>
      <c r="AY59" s="70">
        <f t="shared" si="143"/>
        <v>1504.62</v>
      </c>
      <c r="AZ59" s="70">
        <f t="shared" si="143"/>
        <v>14.7</v>
      </c>
      <c r="BA59" s="70">
        <f t="shared" si="143"/>
        <v>1519.3200000000002</v>
      </c>
      <c r="BB59" s="70">
        <f t="shared" si="143"/>
        <v>1493.67</v>
      </c>
      <c r="BC59" s="70">
        <f t="shared" si="143"/>
        <v>14.47</v>
      </c>
      <c r="BD59" s="70">
        <f t="shared" si="143"/>
        <v>10.950000000000045</v>
      </c>
      <c r="BE59" s="70">
        <f t="shared" si="143"/>
        <v>0.22999999999999865</v>
      </c>
      <c r="BF59" s="70">
        <f t="shared" si="143"/>
        <v>298.73</v>
      </c>
      <c r="BG59" s="96">
        <f t="shared" si="143"/>
        <v>2.89</v>
      </c>
      <c r="BH59" s="96">
        <f t="shared" si="143"/>
        <v>143.89000000000001</v>
      </c>
      <c r="BI59" s="96">
        <f t="shared" si="143"/>
        <v>0</v>
      </c>
      <c r="BJ59" s="96">
        <f t="shared" si="143"/>
        <v>0</v>
      </c>
      <c r="BK59" s="96">
        <f t="shared" si="143"/>
        <v>0</v>
      </c>
      <c r="BL59" s="96">
        <f t="shared" si="143"/>
        <v>1648.51</v>
      </c>
      <c r="BM59" s="96">
        <f t="shared" si="143"/>
        <v>14.7</v>
      </c>
      <c r="BN59" s="96">
        <f t="shared" si="143"/>
        <v>1663.21</v>
      </c>
      <c r="BO59" s="96">
        <f t="shared" si="143"/>
        <v>1562.81</v>
      </c>
      <c r="BP59" s="96">
        <f t="shared" si="143"/>
        <v>14.7</v>
      </c>
      <c r="BQ59" s="70">
        <f t="shared" si="143"/>
        <v>85.700000000000045</v>
      </c>
      <c r="BR59" s="70">
        <f t="shared" si="143"/>
        <v>0</v>
      </c>
      <c r="BS59" s="70">
        <f t="shared" si="143"/>
        <v>142.07999999999998</v>
      </c>
      <c r="BT59" s="70">
        <f t="shared" si="143"/>
        <v>1.34</v>
      </c>
      <c r="BU59" s="70">
        <f t="shared" si="143"/>
        <v>80.649999999999963</v>
      </c>
      <c r="BV59" s="70">
        <f t="shared" si="143"/>
        <v>0</v>
      </c>
      <c r="BW59" s="70">
        <f t="shared" si="143"/>
        <v>248.84</v>
      </c>
      <c r="BX59" s="70">
        <f t="shared" si="143"/>
        <v>0</v>
      </c>
      <c r="BY59" s="70">
        <f t="shared" si="143"/>
        <v>0</v>
      </c>
      <c r="BZ59" s="70">
        <f t="shared" si="143"/>
        <v>0</v>
      </c>
      <c r="CA59" s="70">
        <f t="shared" si="143"/>
        <v>1978</v>
      </c>
      <c r="CB59" s="70">
        <f t="shared" si="143"/>
        <v>14.7</v>
      </c>
      <c r="CC59" s="70">
        <f t="shared" si="143"/>
        <v>2175.8000000000002</v>
      </c>
      <c r="CD59" s="70">
        <f t="shared" si="143"/>
        <v>16.91</v>
      </c>
      <c r="CE59" s="70">
        <f t="shared" si="143"/>
        <v>181</v>
      </c>
      <c r="CF59" s="70">
        <f t="shared" si="143"/>
        <v>1</v>
      </c>
      <c r="CG59" s="70">
        <f t="shared" si="143"/>
        <v>494.5</v>
      </c>
      <c r="CH59" s="96">
        <f t="shared" si="143"/>
        <v>3.68</v>
      </c>
      <c r="CI59" s="70">
        <f t="shared" si="143"/>
        <v>0</v>
      </c>
      <c r="CJ59" s="70">
        <f t="shared" si="143"/>
        <v>0</v>
      </c>
      <c r="CK59" s="70">
        <f t="shared" si="143"/>
        <v>520</v>
      </c>
      <c r="CL59" s="70">
        <f t="shared" si="143"/>
        <v>0</v>
      </c>
      <c r="CM59" s="70">
        <f t="shared" si="143"/>
        <v>0</v>
      </c>
      <c r="CN59" s="70">
        <f t="shared" si="143"/>
        <v>0</v>
      </c>
      <c r="CO59" s="70">
        <f t="shared" si="143"/>
        <v>2085</v>
      </c>
      <c r="CP59" s="70">
        <f t="shared" si="143"/>
        <v>45</v>
      </c>
      <c r="CQ59" s="70">
        <f t="shared" ref="CQ59:FA59" si="144">+CQ57+CQ58</f>
        <v>2080</v>
      </c>
      <c r="CR59" s="70">
        <f t="shared" si="144"/>
        <v>0</v>
      </c>
      <c r="CS59" s="70">
        <f t="shared" si="144"/>
        <v>2080</v>
      </c>
      <c r="CT59" s="70">
        <f t="shared" si="144"/>
        <v>45</v>
      </c>
      <c r="CU59" s="70">
        <f t="shared" si="144"/>
        <v>2080</v>
      </c>
      <c r="CV59" s="70">
        <f t="shared" si="144"/>
        <v>1</v>
      </c>
      <c r="CW59" s="70">
        <f t="shared" si="144"/>
        <v>520</v>
      </c>
      <c r="CX59" s="70">
        <f t="shared" si="144"/>
        <v>0</v>
      </c>
      <c r="CY59" s="70">
        <f t="shared" si="144"/>
        <v>0</v>
      </c>
      <c r="CZ59" s="70">
        <f t="shared" si="144"/>
        <v>0</v>
      </c>
      <c r="DA59" s="70">
        <f t="shared" si="144"/>
        <v>1221</v>
      </c>
      <c r="DB59" s="70">
        <f t="shared" si="144"/>
        <v>1</v>
      </c>
      <c r="DC59" s="70">
        <f t="shared" si="144"/>
        <v>1178.18</v>
      </c>
      <c r="DD59" s="70">
        <f t="shared" si="144"/>
        <v>0</v>
      </c>
      <c r="DE59" s="70">
        <f t="shared" si="144"/>
        <v>42.819999999999993</v>
      </c>
      <c r="DF59" s="70">
        <f t="shared" si="144"/>
        <v>1</v>
      </c>
      <c r="DG59" s="70">
        <f t="shared" si="144"/>
        <v>520</v>
      </c>
      <c r="DH59" s="70">
        <f t="shared" si="144"/>
        <v>0.25</v>
      </c>
      <c r="DI59" s="70">
        <f t="shared" si="144"/>
        <v>477.18</v>
      </c>
      <c r="DJ59" s="70">
        <f t="shared" si="144"/>
        <v>0</v>
      </c>
      <c r="DK59" s="70">
        <f t="shared" si="144"/>
        <v>0</v>
      </c>
      <c r="DL59" s="70">
        <f t="shared" si="144"/>
        <v>0</v>
      </c>
      <c r="DM59" s="70">
        <f t="shared" si="144"/>
        <v>1698.18</v>
      </c>
      <c r="DN59" s="70">
        <f t="shared" si="144"/>
        <v>1</v>
      </c>
      <c r="DO59" s="97">
        <f t="shared" si="144"/>
        <v>1711.13</v>
      </c>
      <c r="DP59" s="98">
        <f t="shared" si="144"/>
        <v>0</v>
      </c>
      <c r="DQ59" s="98">
        <f t="shared" si="144"/>
        <v>-12.95</v>
      </c>
      <c r="DR59" s="98">
        <f t="shared" si="144"/>
        <v>1</v>
      </c>
      <c r="DS59" s="98">
        <f t="shared" si="144"/>
        <v>171.113</v>
      </c>
      <c r="DT59" s="98">
        <f t="shared" si="144"/>
        <v>0</v>
      </c>
      <c r="DU59" s="98">
        <f t="shared" si="144"/>
        <v>184.06299999999999</v>
      </c>
      <c r="DV59" s="98">
        <f t="shared" si="144"/>
        <v>-1</v>
      </c>
      <c r="DW59" s="98">
        <f t="shared" si="144"/>
        <v>0</v>
      </c>
      <c r="DX59" s="98">
        <f t="shared" si="144"/>
        <v>0</v>
      </c>
      <c r="DY59" s="98">
        <f t="shared" si="144"/>
        <v>184.06</v>
      </c>
      <c r="DZ59" s="98">
        <f t="shared" si="144"/>
        <v>0</v>
      </c>
      <c r="EA59" s="98">
        <f t="shared" si="144"/>
        <v>0</v>
      </c>
      <c r="EB59" s="134">
        <f t="shared" si="144"/>
        <v>0</v>
      </c>
      <c r="EC59" s="140">
        <f t="shared" si="144"/>
        <v>1882.2400000000002</v>
      </c>
      <c r="ED59" s="140">
        <f t="shared" si="144"/>
        <v>1</v>
      </c>
      <c r="EE59" s="140">
        <f t="shared" si="144"/>
        <v>1785.3899999999999</v>
      </c>
      <c r="EF59" s="140">
        <f t="shared" si="144"/>
        <v>0</v>
      </c>
      <c r="EG59" s="140">
        <f t="shared" si="144"/>
        <v>190.92000000000002</v>
      </c>
      <c r="EH59" s="140" t="e">
        <f t="shared" si="144"/>
        <v>#DIV/0!</v>
      </c>
      <c r="EI59" s="140">
        <f t="shared" si="144"/>
        <v>96.850000000000009</v>
      </c>
      <c r="EJ59" s="140">
        <f t="shared" si="144"/>
        <v>1</v>
      </c>
      <c r="EK59" s="140">
        <f t="shared" si="144"/>
        <v>162.31</v>
      </c>
      <c r="EL59" s="140">
        <f t="shared" si="144"/>
        <v>0</v>
      </c>
      <c r="EM59" s="140">
        <f t="shared" si="144"/>
        <v>65.459999999999994</v>
      </c>
      <c r="EN59" s="140">
        <f t="shared" si="144"/>
        <v>-1</v>
      </c>
      <c r="EO59" s="140">
        <f t="shared" si="144"/>
        <v>100</v>
      </c>
      <c r="EP59" s="140">
        <f t="shared" si="144"/>
        <v>0</v>
      </c>
      <c r="EQ59" s="136">
        <f t="shared" si="144"/>
        <v>0</v>
      </c>
      <c r="ER59" s="47">
        <f t="shared" si="144"/>
        <v>0</v>
      </c>
      <c r="ES59" s="47">
        <f t="shared" si="144"/>
        <v>0</v>
      </c>
      <c r="ET59" s="47">
        <f t="shared" si="144"/>
        <v>0</v>
      </c>
      <c r="EU59" s="5">
        <f t="shared" si="88"/>
        <v>97.759999999999764</v>
      </c>
      <c r="EV59" s="5">
        <f t="shared" si="88"/>
        <v>0</v>
      </c>
      <c r="EW59" s="46">
        <f t="shared" si="144"/>
        <v>2080</v>
      </c>
      <c r="EX59" s="46">
        <f t="shared" si="144"/>
        <v>1</v>
      </c>
      <c r="EY59" s="46">
        <f t="shared" si="144"/>
        <v>2180</v>
      </c>
      <c r="EZ59" s="46">
        <f t="shared" si="144"/>
        <v>0</v>
      </c>
      <c r="FA59" s="46">
        <f t="shared" si="144"/>
        <v>0</v>
      </c>
    </row>
    <row r="60" spans="1:160" ht="18.75" x14ac:dyDescent="0.25">
      <c r="A60" s="37">
        <v>41</v>
      </c>
      <c r="B60" s="37"/>
      <c r="C60" s="91" t="s">
        <v>188</v>
      </c>
      <c r="D60" s="38" t="s">
        <v>189</v>
      </c>
      <c r="E60" s="39"/>
      <c r="F60" s="40">
        <v>1708.36</v>
      </c>
      <c r="G60" s="40">
        <v>225.19</v>
      </c>
      <c r="H60" s="40">
        <v>1708.36</v>
      </c>
      <c r="I60" s="40">
        <v>260.19</v>
      </c>
      <c r="J60" s="41">
        <v>1700</v>
      </c>
      <c r="K60" s="41">
        <v>0</v>
      </c>
      <c r="L60" s="41">
        <v>0</v>
      </c>
      <c r="M60" s="41">
        <f>J60+K60+L60</f>
        <v>1700</v>
      </c>
      <c r="N60" s="41">
        <v>0</v>
      </c>
      <c r="O60" s="41">
        <v>0</v>
      </c>
      <c r="P60" s="41">
        <v>0</v>
      </c>
      <c r="Q60" s="41">
        <f>N60+O60+P60</f>
        <v>0</v>
      </c>
      <c r="R60" s="41">
        <f t="shared" si="106"/>
        <v>1700</v>
      </c>
      <c r="S60" s="41">
        <v>260</v>
      </c>
      <c r="T60" s="92"/>
      <c r="U60" s="92"/>
      <c r="V60" s="40">
        <f t="shared" ref="V60:V61" si="145">ROUND(H60*1.0583,2)</f>
        <v>1807.96</v>
      </c>
      <c r="W60" s="40">
        <f t="shared" ref="W60:W61" si="146">ROUND(I60*1.0327,2)</f>
        <v>268.7</v>
      </c>
      <c r="X60" s="43">
        <f t="shared" si="2"/>
        <v>-107.96000000000004</v>
      </c>
      <c r="Y60" s="43">
        <f t="shared" si="2"/>
        <v>-8.6999999999999886</v>
      </c>
      <c r="Z60" s="43">
        <v>1700</v>
      </c>
      <c r="AA60" s="43"/>
      <c r="AB60" s="43">
        <f t="shared" si="3"/>
        <v>1700</v>
      </c>
      <c r="AC60" s="43">
        <f t="shared" si="4"/>
        <v>0</v>
      </c>
      <c r="AD60" s="43">
        <f t="shared" ref="AD60:AE60" si="147">IF(X60&gt;0,V60,R60)</f>
        <v>1700</v>
      </c>
      <c r="AE60" s="43">
        <f t="shared" si="147"/>
        <v>260</v>
      </c>
      <c r="AF60" s="43">
        <f t="shared" si="5"/>
        <v>234.57</v>
      </c>
      <c r="AG60" s="43">
        <f t="shared" si="6"/>
        <v>425</v>
      </c>
      <c r="AH60" s="43">
        <f t="shared" si="6"/>
        <v>65</v>
      </c>
      <c r="AI60" s="93">
        <f t="shared" si="7"/>
        <v>142</v>
      </c>
      <c r="AJ60" s="43">
        <f t="shared" si="7"/>
        <v>22</v>
      </c>
      <c r="AK60" s="43"/>
      <c r="AL60" s="43"/>
      <c r="AM60" s="43">
        <f t="shared" si="8"/>
        <v>425</v>
      </c>
      <c r="AN60" s="43">
        <f t="shared" si="9"/>
        <v>63.31</v>
      </c>
      <c r="AO60" s="43"/>
      <c r="AP60" s="43"/>
      <c r="AQ60" s="43">
        <f t="shared" si="10"/>
        <v>850</v>
      </c>
      <c r="AR60" s="43">
        <f t="shared" si="10"/>
        <v>128.31</v>
      </c>
      <c r="AS60" s="43"/>
      <c r="AT60" s="43">
        <v>100</v>
      </c>
      <c r="AU60" s="43">
        <f t="shared" si="0"/>
        <v>425</v>
      </c>
      <c r="AV60" s="43">
        <f t="shared" si="0"/>
        <v>65</v>
      </c>
      <c r="AW60" s="43"/>
      <c r="AX60" s="43"/>
      <c r="AY60" s="43">
        <f t="shared" si="11"/>
        <v>1417</v>
      </c>
      <c r="AZ60" s="43">
        <f t="shared" si="11"/>
        <v>315.31</v>
      </c>
      <c r="BA60" s="43">
        <f t="shared" si="12"/>
        <v>1732.31</v>
      </c>
      <c r="BB60" s="60">
        <v>1360.05</v>
      </c>
      <c r="BC60" s="60">
        <v>251.48</v>
      </c>
      <c r="BD60" s="60">
        <f t="shared" si="13"/>
        <v>56.950000000000045</v>
      </c>
      <c r="BE60" s="60">
        <f t="shared" si="13"/>
        <v>63.830000000000013</v>
      </c>
      <c r="BF60" s="60">
        <f t="shared" si="14"/>
        <v>272.01</v>
      </c>
      <c r="BG60" s="60">
        <f t="shared" si="14"/>
        <v>50.3</v>
      </c>
      <c r="BH60" s="43">
        <v>107.53</v>
      </c>
      <c r="BI60" s="43">
        <v>0</v>
      </c>
      <c r="BJ60" s="43"/>
      <c r="BK60" s="43"/>
      <c r="BL60" s="43">
        <f t="shared" si="1"/>
        <v>1524.53</v>
      </c>
      <c r="BM60" s="43">
        <f t="shared" si="1"/>
        <v>315.31</v>
      </c>
      <c r="BN60" s="43">
        <f t="shared" si="15"/>
        <v>1839.84</v>
      </c>
      <c r="BO60" s="43">
        <v>1499.9</v>
      </c>
      <c r="BP60" s="93">
        <v>274.45999999999998</v>
      </c>
      <c r="BQ60" s="43">
        <f t="shared" si="16"/>
        <v>24.629999999999882</v>
      </c>
      <c r="BR60" s="43">
        <f t="shared" si="16"/>
        <v>40.850000000000023</v>
      </c>
      <c r="BS60" s="43">
        <f t="shared" si="17"/>
        <v>136.35</v>
      </c>
      <c r="BT60" s="43">
        <f t="shared" si="17"/>
        <v>24.95</v>
      </c>
      <c r="BU60" s="43">
        <v>125</v>
      </c>
      <c r="BV60" s="43">
        <v>0</v>
      </c>
      <c r="BW60" s="43"/>
      <c r="BX60" s="43">
        <v>28.1</v>
      </c>
      <c r="BY60" s="43"/>
      <c r="BZ60" s="43"/>
      <c r="CA60" s="43">
        <v>1649.53</v>
      </c>
      <c r="CB60" s="43">
        <v>343.41</v>
      </c>
      <c r="CC60" s="92">
        <v>1814.48</v>
      </c>
      <c r="CD60" s="92">
        <v>394.92</v>
      </c>
      <c r="CE60" s="92">
        <v>151</v>
      </c>
      <c r="CF60" s="92">
        <v>33</v>
      </c>
      <c r="CG60" s="92">
        <f t="shared" si="19"/>
        <v>412.38</v>
      </c>
      <c r="CH60" s="92">
        <f t="shared" si="19"/>
        <v>85.85</v>
      </c>
      <c r="CI60" s="43"/>
      <c r="CJ60" s="43"/>
      <c r="CK60" s="72">
        <f>610-100-25</f>
        <v>485</v>
      </c>
      <c r="CL60" s="72">
        <f>150-50-5</f>
        <v>95</v>
      </c>
      <c r="CM60" s="72"/>
      <c r="CN60" s="72"/>
      <c r="CO60" s="43">
        <v>1750</v>
      </c>
      <c r="CP60" s="43">
        <f>120+8</f>
        <v>128</v>
      </c>
      <c r="CQ60" s="43">
        <f t="shared" si="20"/>
        <v>1940</v>
      </c>
      <c r="CR60" s="43">
        <f t="shared" si="20"/>
        <v>380</v>
      </c>
      <c r="CS60" s="43">
        <f t="shared" si="21"/>
        <v>1750</v>
      </c>
      <c r="CT60" s="43">
        <f>IF(CP60&lt;CR60,CP60,CR60)+2</f>
        <v>130</v>
      </c>
      <c r="CU60" s="43">
        <f t="shared" si="21"/>
        <v>1750</v>
      </c>
      <c r="CV60" s="43">
        <v>130</v>
      </c>
      <c r="CW60" s="43">
        <f t="shared" si="22"/>
        <v>437.5</v>
      </c>
      <c r="CX60" s="43">
        <f>ROUND(CV60*25%,2)-30.5</f>
        <v>2</v>
      </c>
      <c r="CY60" s="43">
        <v>85</v>
      </c>
      <c r="CZ60" s="43">
        <v>0</v>
      </c>
      <c r="DA60" s="43">
        <f t="shared" si="23"/>
        <v>1158.5</v>
      </c>
      <c r="DB60" s="43">
        <f t="shared" si="23"/>
        <v>130</v>
      </c>
      <c r="DC60" s="43">
        <v>1149.19</v>
      </c>
      <c r="DD60" s="43">
        <v>116.79</v>
      </c>
      <c r="DE60" s="43">
        <f t="shared" si="24"/>
        <v>9.3099999999999454</v>
      </c>
      <c r="DF60" s="43">
        <f t="shared" si="24"/>
        <v>13.209999999999994</v>
      </c>
      <c r="DG60" s="43">
        <f>ROUND(0.25*(MIN(CU60,EW60)),2)</f>
        <v>437.5</v>
      </c>
      <c r="DH60" s="43">
        <f>ROUND(0.25*(MIN(CV60,EX60)),2)</f>
        <v>32.5</v>
      </c>
      <c r="DI60" s="43">
        <f>+DG60-DE60</f>
        <v>428.19000000000005</v>
      </c>
      <c r="DJ60" s="43">
        <f>+DH60-DF60-19.29</f>
        <v>0</v>
      </c>
      <c r="DK60" s="43">
        <v>50</v>
      </c>
      <c r="DL60" s="43"/>
      <c r="DM60" s="43">
        <f t="shared" si="25"/>
        <v>1636.69</v>
      </c>
      <c r="DN60" s="43">
        <f t="shared" si="25"/>
        <v>130</v>
      </c>
      <c r="DO60" s="94">
        <v>1617.21</v>
      </c>
      <c r="DP60" s="95">
        <v>128.91999999999999</v>
      </c>
      <c r="DQ60" s="60">
        <f t="shared" si="26"/>
        <v>19.48</v>
      </c>
      <c r="DR60" s="60">
        <f t="shared" si="26"/>
        <v>1.08</v>
      </c>
      <c r="DS60" s="60">
        <f t="shared" si="27"/>
        <v>161.721</v>
      </c>
      <c r="DT60" s="60">
        <f t="shared" si="27"/>
        <v>12.891999999999999</v>
      </c>
      <c r="DU60" s="60">
        <f t="shared" si="28"/>
        <v>142.24100000000001</v>
      </c>
      <c r="DV60" s="60">
        <f t="shared" si="28"/>
        <v>11.811999999999999</v>
      </c>
      <c r="DW60" s="60">
        <v>50.27</v>
      </c>
      <c r="DX60" s="60"/>
      <c r="DY60" s="60">
        <f t="shared" si="29"/>
        <v>192.51</v>
      </c>
      <c r="DZ60" s="60">
        <f>ROUND(DV60+DX60,2)-11.81</f>
        <v>0</v>
      </c>
      <c r="EA60" s="60"/>
      <c r="EB60" s="60"/>
      <c r="EC60" s="43">
        <f t="shared" si="30"/>
        <v>1829.2</v>
      </c>
      <c r="ED60" s="43">
        <f t="shared" si="30"/>
        <v>130</v>
      </c>
      <c r="EE60" s="43">
        <v>1770.75</v>
      </c>
      <c r="EF60" s="43">
        <v>129.13999999999999</v>
      </c>
      <c r="EG60" s="43">
        <f t="shared" si="66"/>
        <v>96.8</v>
      </c>
      <c r="EH60" s="43">
        <f t="shared" si="66"/>
        <v>99.34</v>
      </c>
      <c r="EI60" s="43">
        <f t="shared" si="32"/>
        <v>58.45</v>
      </c>
      <c r="EJ60" s="43">
        <f t="shared" si="32"/>
        <v>0.86</v>
      </c>
      <c r="EK60" s="43">
        <f t="shared" si="33"/>
        <v>160.97999999999999</v>
      </c>
      <c r="EL60" s="43">
        <f t="shared" si="33"/>
        <v>11.74</v>
      </c>
      <c r="EM60" s="43">
        <f t="shared" si="34"/>
        <v>102.52999999999999</v>
      </c>
      <c r="EN60" s="43">
        <f t="shared" si="34"/>
        <v>10.88</v>
      </c>
      <c r="EO60" s="43">
        <v>158</v>
      </c>
      <c r="EP60" s="43">
        <v>4</v>
      </c>
      <c r="EQ60" s="5"/>
      <c r="ER60" s="5"/>
      <c r="ES60" s="5"/>
      <c r="ET60" s="5"/>
      <c r="EU60" s="5">
        <f t="shared" si="88"/>
        <v>-77.200000000000045</v>
      </c>
      <c r="EV60" s="5">
        <f t="shared" si="88"/>
        <v>-4</v>
      </c>
      <c r="EW60" s="5">
        <v>1910</v>
      </c>
      <c r="EX60" s="5">
        <v>130</v>
      </c>
      <c r="EY60" s="5">
        <v>1925</v>
      </c>
      <c r="EZ60" s="5">
        <v>300</v>
      </c>
    </row>
    <row r="61" spans="1:160" ht="18.75" x14ac:dyDescent="0.25">
      <c r="A61" s="37">
        <v>42</v>
      </c>
      <c r="B61" s="37"/>
      <c r="C61" s="91" t="s">
        <v>188</v>
      </c>
      <c r="D61" s="105" t="s">
        <v>190</v>
      </c>
      <c r="E61" s="39"/>
      <c r="F61" s="40">
        <v>647.14</v>
      </c>
      <c r="G61" s="40">
        <v>0</v>
      </c>
      <c r="H61" s="40">
        <v>793.22</v>
      </c>
      <c r="I61" s="40">
        <v>0</v>
      </c>
      <c r="J61" s="41">
        <v>950</v>
      </c>
      <c r="K61" s="41">
        <v>0</v>
      </c>
      <c r="L61" s="41">
        <v>0</v>
      </c>
      <c r="M61" s="41">
        <f t="shared" ref="M61:M84" si="148">J61+K61+L61</f>
        <v>950</v>
      </c>
      <c r="N61" s="41">
        <v>0</v>
      </c>
      <c r="O61" s="41">
        <v>0</v>
      </c>
      <c r="P61" s="41">
        <v>0</v>
      </c>
      <c r="Q61" s="41">
        <f t="shared" ref="Q61" si="149">N61+O61+P61</f>
        <v>0</v>
      </c>
      <c r="R61" s="41">
        <f t="shared" si="106"/>
        <v>950</v>
      </c>
      <c r="S61" s="41">
        <v>0</v>
      </c>
      <c r="T61" s="92"/>
      <c r="U61" s="92"/>
      <c r="V61" s="40">
        <f t="shared" si="145"/>
        <v>839.46</v>
      </c>
      <c r="W61" s="40">
        <f t="shared" si="146"/>
        <v>0</v>
      </c>
      <c r="X61" s="43">
        <f t="shared" si="2"/>
        <v>110.53999999999996</v>
      </c>
      <c r="Y61" s="43">
        <f t="shared" si="2"/>
        <v>0</v>
      </c>
      <c r="Z61" s="43">
        <v>2149.59</v>
      </c>
      <c r="AA61" s="43"/>
      <c r="AB61" s="43">
        <f t="shared" si="3"/>
        <v>2149.59</v>
      </c>
      <c r="AC61" s="43">
        <v>0</v>
      </c>
      <c r="AD61" s="43">
        <v>2149.59</v>
      </c>
      <c r="AE61" s="43">
        <v>0</v>
      </c>
      <c r="AF61" s="43">
        <v>0</v>
      </c>
      <c r="AG61" s="43">
        <v>538</v>
      </c>
      <c r="AH61" s="43">
        <v>0</v>
      </c>
      <c r="AI61" s="93">
        <v>179</v>
      </c>
      <c r="AJ61" s="43">
        <v>0</v>
      </c>
      <c r="AK61" s="43">
        <f>50+25</f>
        <v>75</v>
      </c>
      <c r="AL61" s="43"/>
      <c r="AM61" s="43">
        <v>537.4</v>
      </c>
      <c r="AN61" s="43">
        <v>0</v>
      </c>
      <c r="AO61" s="43"/>
      <c r="AP61" s="43"/>
      <c r="AQ61" s="43">
        <f t="shared" si="10"/>
        <v>1150.4000000000001</v>
      </c>
      <c r="AR61" s="43">
        <v>0</v>
      </c>
      <c r="AS61" s="43"/>
      <c r="AT61" s="43"/>
      <c r="AU61" s="43">
        <v>297.39999999999998</v>
      </c>
      <c r="AV61" s="43">
        <v>0</v>
      </c>
      <c r="AW61" s="43"/>
      <c r="AX61" s="43"/>
      <c r="AY61" s="43">
        <f t="shared" si="11"/>
        <v>1626.8000000000002</v>
      </c>
      <c r="AZ61" s="43">
        <f t="shared" si="11"/>
        <v>0</v>
      </c>
      <c r="BA61" s="43">
        <f t="shared" si="12"/>
        <v>1626.8000000000002</v>
      </c>
      <c r="BB61" s="60">
        <v>1611.63</v>
      </c>
      <c r="BC61" s="60"/>
      <c r="BD61" s="60">
        <f t="shared" si="13"/>
        <v>15.170000000000073</v>
      </c>
      <c r="BE61" s="60">
        <f t="shared" si="13"/>
        <v>0</v>
      </c>
      <c r="BF61" s="60">
        <f t="shared" si="14"/>
        <v>322.33</v>
      </c>
      <c r="BG61" s="60">
        <f t="shared" si="14"/>
        <v>0</v>
      </c>
      <c r="BH61" s="43">
        <v>103.58</v>
      </c>
      <c r="BI61" s="43">
        <v>0</v>
      </c>
      <c r="BJ61" s="43"/>
      <c r="BK61" s="43"/>
      <c r="BL61" s="43">
        <f t="shared" si="1"/>
        <v>1730.38</v>
      </c>
      <c r="BM61" s="43">
        <f t="shared" si="1"/>
        <v>0</v>
      </c>
      <c r="BN61" s="43">
        <f t="shared" si="15"/>
        <v>1730.38</v>
      </c>
      <c r="BO61" s="43">
        <v>1599.46</v>
      </c>
      <c r="BP61" s="93"/>
      <c r="BQ61" s="43">
        <f t="shared" si="16"/>
        <v>130.92000000000007</v>
      </c>
      <c r="BR61" s="43">
        <f t="shared" si="16"/>
        <v>0</v>
      </c>
      <c r="BS61" s="43">
        <f t="shared" si="17"/>
        <v>145.41</v>
      </c>
      <c r="BT61" s="43">
        <f t="shared" si="17"/>
        <v>0</v>
      </c>
      <c r="BU61" s="43">
        <v>15</v>
      </c>
      <c r="BV61" s="43">
        <f t="shared" si="99"/>
        <v>0</v>
      </c>
      <c r="BW61" s="43">
        <v>450</v>
      </c>
      <c r="BX61" s="43"/>
      <c r="BY61" s="43"/>
      <c r="BZ61" s="43"/>
      <c r="CA61" s="43">
        <f>2195.38+25.78</f>
        <v>2221.1600000000003</v>
      </c>
      <c r="CB61" s="43">
        <v>0</v>
      </c>
      <c r="CC61" s="92">
        <v>2414.92</v>
      </c>
      <c r="CD61" s="92">
        <v>0</v>
      </c>
      <c r="CE61" s="92">
        <v>201</v>
      </c>
      <c r="CF61" s="92">
        <v>0</v>
      </c>
      <c r="CG61" s="92">
        <f t="shared" si="19"/>
        <v>555.29</v>
      </c>
      <c r="CH61" s="92">
        <f t="shared" si="19"/>
        <v>0</v>
      </c>
      <c r="CI61" s="43"/>
      <c r="CJ61" s="43"/>
      <c r="CK61" s="43">
        <f>150+205+215</f>
        <v>570</v>
      </c>
      <c r="CL61" s="43"/>
      <c r="CM61" s="43"/>
      <c r="CN61" s="43"/>
      <c r="CO61" s="72">
        <v>2000</v>
      </c>
      <c r="CP61" s="43"/>
      <c r="CQ61" s="43">
        <f t="shared" si="20"/>
        <v>2280</v>
      </c>
      <c r="CR61" s="43">
        <f t="shared" si="20"/>
        <v>0</v>
      </c>
      <c r="CS61" s="43">
        <f t="shared" si="21"/>
        <v>2000</v>
      </c>
      <c r="CT61" s="43">
        <f t="shared" si="21"/>
        <v>0</v>
      </c>
      <c r="CU61" s="43">
        <f>IF(CQ61&lt;CS61,CQ61,CS61)+584</f>
        <v>2584</v>
      </c>
      <c r="CV61" s="43">
        <v>0</v>
      </c>
      <c r="CW61" s="43">
        <f>ROUND(CU61*25%,2)-146</f>
        <v>500</v>
      </c>
      <c r="CX61" s="43">
        <f t="shared" si="22"/>
        <v>0</v>
      </c>
      <c r="CY61" s="43"/>
      <c r="CZ61" s="43"/>
      <c r="DA61" s="43">
        <f t="shared" si="23"/>
        <v>1271</v>
      </c>
      <c r="DB61" s="43">
        <f t="shared" si="23"/>
        <v>0</v>
      </c>
      <c r="DC61" s="43">
        <v>1274.93</v>
      </c>
      <c r="DD61" s="43">
        <v>0</v>
      </c>
      <c r="DE61" s="43">
        <f t="shared" si="24"/>
        <v>-3.9300000000000637</v>
      </c>
      <c r="DF61" s="43">
        <f t="shared" si="24"/>
        <v>0</v>
      </c>
      <c r="DG61" s="43">
        <f>ROUND(0.25*(MIN(CU61,EW61)),2)</f>
        <v>646</v>
      </c>
      <c r="DH61" s="43">
        <f>ROUND(0.25*(MIN(CV61,EX61)),2)</f>
        <v>0</v>
      </c>
      <c r="DI61" s="43">
        <f>+DG61-DE61</f>
        <v>649.93000000000006</v>
      </c>
      <c r="DJ61" s="43">
        <f>+DH61-DF61</f>
        <v>0</v>
      </c>
      <c r="DK61" s="43"/>
      <c r="DL61" s="43"/>
      <c r="DM61" s="43">
        <f t="shared" si="25"/>
        <v>1920.93</v>
      </c>
      <c r="DN61" s="43">
        <f t="shared" si="25"/>
        <v>0</v>
      </c>
      <c r="DO61" s="94">
        <v>1919.61</v>
      </c>
      <c r="DP61" s="95">
        <v>0</v>
      </c>
      <c r="DQ61" s="60">
        <f t="shared" si="26"/>
        <v>1.32</v>
      </c>
      <c r="DR61" s="60">
        <f t="shared" si="26"/>
        <v>0</v>
      </c>
      <c r="DS61" s="60">
        <f t="shared" si="27"/>
        <v>191.96099999999998</v>
      </c>
      <c r="DT61" s="60">
        <f t="shared" si="27"/>
        <v>0</v>
      </c>
      <c r="DU61" s="60">
        <f t="shared" si="28"/>
        <v>190.64099999999999</v>
      </c>
      <c r="DV61" s="60">
        <f t="shared" si="28"/>
        <v>0</v>
      </c>
      <c r="DW61" s="60"/>
      <c r="DX61" s="60"/>
      <c r="DY61" s="60">
        <f t="shared" si="29"/>
        <v>190.64</v>
      </c>
      <c r="DZ61" s="60">
        <f t="shared" si="29"/>
        <v>0</v>
      </c>
      <c r="EA61" s="60"/>
      <c r="EB61" s="60"/>
      <c r="EC61" s="43">
        <f t="shared" si="30"/>
        <v>2111.5700000000002</v>
      </c>
      <c r="ED61" s="43">
        <f t="shared" si="30"/>
        <v>0</v>
      </c>
      <c r="EE61" s="43">
        <v>1922.49</v>
      </c>
      <c r="EF61" s="43">
        <v>0</v>
      </c>
      <c r="EG61" s="43">
        <f t="shared" si="66"/>
        <v>91.05</v>
      </c>
      <c r="EH61" s="43" t="e">
        <f t="shared" si="66"/>
        <v>#DIV/0!</v>
      </c>
      <c r="EI61" s="43">
        <f t="shared" si="32"/>
        <v>189.08</v>
      </c>
      <c r="EJ61" s="43">
        <f t="shared" si="32"/>
        <v>0</v>
      </c>
      <c r="EK61" s="43">
        <f t="shared" si="33"/>
        <v>174.77</v>
      </c>
      <c r="EL61" s="43">
        <f t="shared" si="33"/>
        <v>0</v>
      </c>
      <c r="EM61" s="43">
        <f t="shared" si="34"/>
        <v>-14.310000000000002</v>
      </c>
      <c r="EN61" s="43">
        <f t="shared" si="34"/>
        <v>0</v>
      </c>
      <c r="EO61" s="43">
        <v>472.43</v>
      </c>
      <c r="EP61" s="43">
        <v>0</v>
      </c>
      <c r="EQ61" s="5"/>
      <c r="ER61" s="5"/>
      <c r="ES61" s="5"/>
      <c r="ET61" s="5"/>
      <c r="EU61" s="5">
        <f t="shared" si="88"/>
        <v>207.99999999999983</v>
      </c>
      <c r="EV61" s="5">
        <f t="shared" si="88"/>
        <v>0</v>
      </c>
      <c r="EW61" s="5">
        <f>208+2584</f>
        <v>2792</v>
      </c>
      <c r="EX61" s="5">
        <v>0</v>
      </c>
      <c r="EY61" s="58">
        <f>225+2800</f>
        <v>3025</v>
      </c>
      <c r="EZ61" s="5">
        <v>0</v>
      </c>
    </row>
    <row r="62" spans="1:160" ht="18.75" x14ac:dyDescent="0.25">
      <c r="A62" s="68"/>
      <c r="B62" s="68" t="s">
        <v>191</v>
      </c>
      <c r="C62" s="91" t="s">
        <v>188</v>
      </c>
      <c r="D62" s="67" t="s">
        <v>189</v>
      </c>
      <c r="E62" s="69" t="s">
        <v>192</v>
      </c>
      <c r="F62" s="70">
        <v>3412.94</v>
      </c>
      <c r="G62" s="70">
        <v>225.19</v>
      </c>
      <c r="H62" s="70">
        <v>3745.32</v>
      </c>
      <c r="I62" s="70">
        <v>260.19</v>
      </c>
      <c r="J62" s="71" t="e">
        <f>+J60+J61+#REF!+#REF!</f>
        <v>#REF!</v>
      </c>
      <c r="K62" s="71" t="e">
        <f>+K60+K61+#REF!+#REF!</f>
        <v>#REF!</v>
      </c>
      <c r="L62" s="71" t="e">
        <f>+L60+L61+#REF!+#REF!</f>
        <v>#REF!</v>
      </c>
      <c r="M62" s="71" t="e">
        <f>+M60+M61+#REF!+#REF!</f>
        <v>#REF!</v>
      </c>
      <c r="N62" s="71" t="e">
        <f>+N60+N61+#REF!+#REF!</f>
        <v>#REF!</v>
      </c>
      <c r="O62" s="71" t="e">
        <f>+O60+O61+#REF!+#REF!</f>
        <v>#REF!</v>
      </c>
      <c r="P62" s="71" t="e">
        <f>+P60+P61+#REF!+#REF!</f>
        <v>#REF!</v>
      </c>
      <c r="Q62" s="71" t="e">
        <f>+Q60+Q61+#REF!+#REF!</f>
        <v>#REF!</v>
      </c>
      <c r="R62" s="71" t="e">
        <f>+R60+R61+#REF!+#REF!</f>
        <v>#REF!</v>
      </c>
      <c r="S62" s="71" t="e">
        <f>+S60+S61+#REF!+#REF!</f>
        <v>#REF!</v>
      </c>
      <c r="T62" s="71" t="e">
        <f>+T60+T61+#REF!+#REF!</f>
        <v>#REF!</v>
      </c>
      <c r="U62" s="71" t="e">
        <f>+U60+U61+#REF!+#REF!</f>
        <v>#REF!</v>
      </c>
      <c r="V62" s="71" t="e">
        <f>+V60+V61+#REF!+#REF!</f>
        <v>#REF!</v>
      </c>
      <c r="W62" s="71" t="e">
        <f>+W60+W61+#REF!+#REF!</f>
        <v>#REF!</v>
      </c>
      <c r="X62" s="71" t="e">
        <f>+X60+X61+#REF!+#REF!</f>
        <v>#REF!</v>
      </c>
      <c r="Y62" s="71" t="e">
        <f>+Y60+Y61+#REF!+#REF!</f>
        <v>#REF!</v>
      </c>
      <c r="Z62" s="71" t="e">
        <f>+Z60+Z61+#REF!+#REF!</f>
        <v>#REF!</v>
      </c>
      <c r="AA62" s="71" t="e">
        <f>+AA60+AA61+#REF!+#REF!</f>
        <v>#REF!</v>
      </c>
      <c r="AB62" s="70" t="e">
        <f t="shared" si="3"/>
        <v>#REF!</v>
      </c>
      <c r="AC62" s="43">
        <v>0</v>
      </c>
      <c r="AD62" s="70">
        <f t="shared" ref="AD62:CO62" si="150">+AD60+AD61</f>
        <v>3849.59</v>
      </c>
      <c r="AE62" s="70">
        <f t="shared" si="150"/>
        <v>260</v>
      </c>
      <c r="AF62" s="70">
        <f t="shared" si="150"/>
        <v>234.57</v>
      </c>
      <c r="AG62" s="70">
        <f t="shared" si="150"/>
        <v>963</v>
      </c>
      <c r="AH62" s="70">
        <f t="shared" si="150"/>
        <v>65</v>
      </c>
      <c r="AI62" s="70">
        <f t="shared" si="150"/>
        <v>321</v>
      </c>
      <c r="AJ62" s="70">
        <f t="shared" si="150"/>
        <v>22</v>
      </c>
      <c r="AK62" s="70">
        <f t="shared" si="150"/>
        <v>75</v>
      </c>
      <c r="AL62" s="70">
        <f t="shared" si="150"/>
        <v>0</v>
      </c>
      <c r="AM62" s="70">
        <f t="shared" si="150"/>
        <v>962.4</v>
      </c>
      <c r="AN62" s="70">
        <f t="shared" si="150"/>
        <v>63.31</v>
      </c>
      <c r="AO62" s="70">
        <f t="shared" si="150"/>
        <v>0</v>
      </c>
      <c r="AP62" s="70">
        <f t="shared" si="150"/>
        <v>0</v>
      </c>
      <c r="AQ62" s="70">
        <f t="shared" si="150"/>
        <v>2000.4</v>
      </c>
      <c r="AR62" s="70">
        <f t="shared" si="150"/>
        <v>128.31</v>
      </c>
      <c r="AS62" s="70">
        <f t="shared" si="150"/>
        <v>0</v>
      </c>
      <c r="AT62" s="70">
        <f t="shared" si="150"/>
        <v>100</v>
      </c>
      <c r="AU62" s="70">
        <f t="shared" si="150"/>
        <v>722.4</v>
      </c>
      <c r="AV62" s="70">
        <f t="shared" si="150"/>
        <v>65</v>
      </c>
      <c r="AW62" s="70">
        <f t="shared" si="150"/>
        <v>0</v>
      </c>
      <c r="AX62" s="70">
        <f t="shared" si="150"/>
        <v>0</v>
      </c>
      <c r="AY62" s="70">
        <f t="shared" si="150"/>
        <v>3043.8</v>
      </c>
      <c r="AZ62" s="70">
        <f t="shared" si="150"/>
        <v>315.31</v>
      </c>
      <c r="BA62" s="70">
        <f t="shared" si="150"/>
        <v>3359.11</v>
      </c>
      <c r="BB62" s="70">
        <f t="shared" si="150"/>
        <v>2971.6800000000003</v>
      </c>
      <c r="BC62" s="70">
        <f t="shared" si="150"/>
        <v>251.48</v>
      </c>
      <c r="BD62" s="70">
        <f t="shared" si="150"/>
        <v>72.120000000000118</v>
      </c>
      <c r="BE62" s="70">
        <f t="shared" si="150"/>
        <v>63.830000000000013</v>
      </c>
      <c r="BF62" s="70">
        <f t="shared" si="150"/>
        <v>594.33999999999992</v>
      </c>
      <c r="BG62" s="96">
        <f t="shared" si="150"/>
        <v>50.3</v>
      </c>
      <c r="BH62" s="96">
        <f t="shared" si="150"/>
        <v>211.11</v>
      </c>
      <c r="BI62" s="96">
        <f t="shared" si="150"/>
        <v>0</v>
      </c>
      <c r="BJ62" s="96">
        <f t="shared" si="150"/>
        <v>0</v>
      </c>
      <c r="BK62" s="96">
        <f t="shared" si="150"/>
        <v>0</v>
      </c>
      <c r="BL62" s="96">
        <f t="shared" si="150"/>
        <v>3254.91</v>
      </c>
      <c r="BM62" s="96">
        <f t="shared" si="150"/>
        <v>315.31</v>
      </c>
      <c r="BN62" s="96">
        <f t="shared" si="150"/>
        <v>3570.2200000000003</v>
      </c>
      <c r="BO62" s="96">
        <f t="shared" si="150"/>
        <v>3099.36</v>
      </c>
      <c r="BP62" s="96">
        <f t="shared" si="150"/>
        <v>274.45999999999998</v>
      </c>
      <c r="BQ62" s="70">
        <f t="shared" si="150"/>
        <v>155.54999999999995</v>
      </c>
      <c r="BR62" s="70">
        <f t="shared" si="150"/>
        <v>40.850000000000023</v>
      </c>
      <c r="BS62" s="70">
        <f t="shared" si="150"/>
        <v>281.76</v>
      </c>
      <c r="BT62" s="70">
        <f t="shared" si="150"/>
        <v>24.95</v>
      </c>
      <c r="BU62" s="70">
        <f t="shared" si="150"/>
        <v>140</v>
      </c>
      <c r="BV62" s="70">
        <f t="shared" si="150"/>
        <v>0</v>
      </c>
      <c r="BW62" s="70">
        <f t="shared" si="150"/>
        <v>450</v>
      </c>
      <c r="BX62" s="70">
        <f t="shared" si="150"/>
        <v>28.1</v>
      </c>
      <c r="BY62" s="70">
        <f t="shared" si="150"/>
        <v>0</v>
      </c>
      <c r="BZ62" s="70">
        <f t="shared" si="150"/>
        <v>0</v>
      </c>
      <c r="CA62" s="70">
        <f t="shared" si="150"/>
        <v>3870.6900000000005</v>
      </c>
      <c r="CB62" s="70">
        <f t="shared" si="150"/>
        <v>343.41</v>
      </c>
      <c r="CC62" s="70">
        <f t="shared" si="150"/>
        <v>4229.3999999999996</v>
      </c>
      <c r="CD62" s="70">
        <f t="shared" si="150"/>
        <v>394.92</v>
      </c>
      <c r="CE62" s="70">
        <f t="shared" si="150"/>
        <v>352</v>
      </c>
      <c r="CF62" s="70">
        <f t="shared" si="150"/>
        <v>33</v>
      </c>
      <c r="CG62" s="70">
        <f t="shared" si="150"/>
        <v>967.67</v>
      </c>
      <c r="CH62" s="96">
        <f t="shared" si="150"/>
        <v>85.85</v>
      </c>
      <c r="CI62" s="70">
        <f t="shared" si="150"/>
        <v>0</v>
      </c>
      <c r="CJ62" s="70">
        <f t="shared" si="150"/>
        <v>0</v>
      </c>
      <c r="CK62" s="70">
        <f t="shared" si="150"/>
        <v>1055</v>
      </c>
      <c r="CL62" s="70">
        <f t="shared" si="150"/>
        <v>95</v>
      </c>
      <c r="CM62" s="70">
        <f t="shared" si="150"/>
        <v>0</v>
      </c>
      <c r="CN62" s="70">
        <f t="shared" si="150"/>
        <v>0</v>
      </c>
      <c r="CO62" s="70">
        <f t="shared" si="150"/>
        <v>3750</v>
      </c>
      <c r="CP62" s="70">
        <f t="shared" ref="CP62:FA62" si="151">+CP60+CP61</f>
        <v>128</v>
      </c>
      <c r="CQ62" s="70">
        <f t="shared" si="151"/>
        <v>4220</v>
      </c>
      <c r="CR62" s="70">
        <f t="shared" si="151"/>
        <v>380</v>
      </c>
      <c r="CS62" s="70">
        <f t="shared" si="151"/>
        <v>3750</v>
      </c>
      <c r="CT62" s="70">
        <f t="shared" si="151"/>
        <v>130</v>
      </c>
      <c r="CU62" s="70">
        <f t="shared" si="151"/>
        <v>4334</v>
      </c>
      <c r="CV62" s="70">
        <f t="shared" si="151"/>
        <v>130</v>
      </c>
      <c r="CW62" s="70">
        <f t="shared" si="151"/>
        <v>937.5</v>
      </c>
      <c r="CX62" s="70">
        <f t="shared" si="151"/>
        <v>2</v>
      </c>
      <c r="CY62" s="70">
        <f t="shared" si="151"/>
        <v>85</v>
      </c>
      <c r="CZ62" s="70">
        <f t="shared" si="151"/>
        <v>0</v>
      </c>
      <c r="DA62" s="70">
        <f t="shared" si="151"/>
        <v>2429.5</v>
      </c>
      <c r="DB62" s="70">
        <f t="shared" si="151"/>
        <v>130</v>
      </c>
      <c r="DC62" s="70">
        <f t="shared" si="151"/>
        <v>2424.12</v>
      </c>
      <c r="DD62" s="70">
        <f t="shared" si="151"/>
        <v>116.79</v>
      </c>
      <c r="DE62" s="70">
        <f t="shared" si="151"/>
        <v>5.3799999999998818</v>
      </c>
      <c r="DF62" s="70">
        <f t="shared" si="151"/>
        <v>13.209999999999994</v>
      </c>
      <c r="DG62" s="70">
        <f t="shared" si="151"/>
        <v>1083.5</v>
      </c>
      <c r="DH62" s="70">
        <f t="shared" si="151"/>
        <v>32.5</v>
      </c>
      <c r="DI62" s="70">
        <f t="shared" si="151"/>
        <v>1078.1200000000001</v>
      </c>
      <c r="DJ62" s="70">
        <f t="shared" si="151"/>
        <v>0</v>
      </c>
      <c r="DK62" s="70">
        <f t="shared" si="151"/>
        <v>50</v>
      </c>
      <c r="DL62" s="70">
        <f t="shared" si="151"/>
        <v>0</v>
      </c>
      <c r="DM62" s="70">
        <f t="shared" si="151"/>
        <v>3557.62</v>
      </c>
      <c r="DN62" s="70">
        <f t="shared" si="151"/>
        <v>130</v>
      </c>
      <c r="DO62" s="97">
        <f t="shared" si="151"/>
        <v>3536.8199999999997</v>
      </c>
      <c r="DP62" s="98">
        <f t="shared" si="151"/>
        <v>128.91999999999999</v>
      </c>
      <c r="DQ62" s="98">
        <f t="shared" si="151"/>
        <v>20.8</v>
      </c>
      <c r="DR62" s="98">
        <f t="shared" si="151"/>
        <v>1.08</v>
      </c>
      <c r="DS62" s="98">
        <f t="shared" si="151"/>
        <v>353.68200000000002</v>
      </c>
      <c r="DT62" s="98">
        <f t="shared" si="151"/>
        <v>12.891999999999999</v>
      </c>
      <c r="DU62" s="98">
        <f t="shared" si="151"/>
        <v>332.88200000000001</v>
      </c>
      <c r="DV62" s="98">
        <f t="shared" si="151"/>
        <v>11.811999999999999</v>
      </c>
      <c r="DW62" s="98">
        <f t="shared" si="151"/>
        <v>50.27</v>
      </c>
      <c r="DX62" s="98">
        <f t="shared" si="151"/>
        <v>0</v>
      </c>
      <c r="DY62" s="98">
        <f t="shared" si="151"/>
        <v>383.15</v>
      </c>
      <c r="DZ62" s="98">
        <f t="shared" si="151"/>
        <v>0</v>
      </c>
      <c r="EA62" s="98">
        <f t="shared" si="151"/>
        <v>0</v>
      </c>
      <c r="EB62" s="134">
        <f t="shared" si="151"/>
        <v>0</v>
      </c>
      <c r="EC62" s="140">
        <f t="shared" si="151"/>
        <v>3940.7700000000004</v>
      </c>
      <c r="ED62" s="140">
        <f t="shared" si="151"/>
        <v>130</v>
      </c>
      <c r="EE62" s="140">
        <f t="shared" si="151"/>
        <v>3693.24</v>
      </c>
      <c r="EF62" s="140">
        <f t="shared" si="151"/>
        <v>129.13999999999999</v>
      </c>
      <c r="EG62" s="140">
        <f t="shared" si="151"/>
        <v>187.85</v>
      </c>
      <c r="EH62" s="140" t="e">
        <f t="shared" si="151"/>
        <v>#DIV/0!</v>
      </c>
      <c r="EI62" s="140">
        <f t="shared" si="151"/>
        <v>247.53000000000003</v>
      </c>
      <c r="EJ62" s="140">
        <f t="shared" si="151"/>
        <v>0.86</v>
      </c>
      <c r="EK62" s="140">
        <f t="shared" si="151"/>
        <v>335.75</v>
      </c>
      <c r="EL62" s="140">
        <f t="shared" si="151"/>
        <v>11.74</v>
      </c>
      <c r="EM62" s="140">
        <f t="shared" si="151"/>
        <v>88.219999999999985</v>
      </c>
      <c r="EN62" s="140">
        <f t="shared" si="151"/>
        <v>10.88</v>
      </c>
      <c r="EO62" s="140">
        <f t="shared" si="151"/>
        <v>630.43000000000006</v>
      </c>
      <c r="EP62" s="140">
        <f t="shared" si="151"/>
        <v>4</v>
      </c>
      <c r="EQ62" s="136">
        <f t="shared" si="151"/>
        <v>0</v>
      </c>
      <c r="ER62" s="47">
        <f t="shared" si="151"/>
        <v>0</v>
      </c>
      <c r="ES62" s="47">
        <f t="shared" si="151"/>
        <v>0</v>
      </c>
      <c r="ET62" s="47">
        <f t="shared" si="151"/>
        <v>0</v>
      </c>
      <c r="EU62" s="5">
        <f t="shared" si="88"/>
        <v>130.7999999999995</v>
      </c>
      <c r="EV62" s="5">
        <f t="shared" si="88"/>
        <v>-4</v>
      </c>
      <c r="EW62" s="47">
        <f t="shared" si="151"/>
        <v>4702</v>
      </c>
      <c r="EX62" s="47">
        <f t="shared" si="151"/>
        <v>130</v>
      </c>
      <c r="EY62" s="47">
        <f t="shared" si="151"/>
        <v>4950</v>
      </c>
      <c r="EZ62" s="47">
        <f t="shared" si="151"/>
        <v>300</v>
      </c>
      <c r="FA62" s="46">
        <f t="shared" si="151"/>
        <v>0</v>
      </c>
      <c r="FB62" s="46">
        <f t="shared" ref="FB62" si="152">+FB60+FB61</f>
        <v>0</v>
      </c>
    </row>
    <row r="63" spans="1:160" ht="18.75" x14ac:dyDescent="0.25">
      <c r="A63" s="37">
        <v>45</v>
      </c>
      <c r="B63" s="37"/>
      <c r="C63" s="91" t="s">
        <v>193</v>
      </c>
      <c r="D63" s="38" t="s">
        <v>194</v>
      </c>
      <c r="E63" s="39"/>
      <c r="F63" s="40">
        <v>1160</v>
      </c>
      <c r="G63" s="40">
        <v>216.04999999999998</v>
      </c>
      <c r="H63" s="40">
        <v>1160</v>
      </c>
      <c r="I63" s="40">
        <v>216.04999999999998</v>
      </c>
      <c r="J63" s="41">
        <v>1290</v>
      </c>
      <c r="K63" s="41">
        <v>0</v>
      </c>
      <c r="L63" s="41">
        <v>0</v>
      </c>
      <c r="M63" s="41">
        <f t="shared" si="148"/>
        <v>1290</v>
      </c>
      <c r="N63" s="41">
        <v>0</v>
      </c>
      <c r="O63" s="41">
        <v>0</v>
      </c>
      <c r="P63" s="41">
        <v>0</v>
      </c>
      <c r="Q63" s="41">
        <f t="shared" ref="Q63:Q64" si="153">N63+O63+P63</f>
        <v>0</v>
      </c>
      <c r="R63" s="41">
        <f t="shared" si="106"/>
        <v>1290</v>
      </c>
      <c r="S63" s="41">
        <v>137</v>
      </c>
      <c r="T63" s="92"/>
      <c r="U63" s="92"/>
      <c r="V63" s="40">
        <f t="shared" ref="V63:V64" si="154">ROUND(H63*1.0583,2)</f>
        <v>1227.6300000000001</v>
      </c>
      <c r="W63" s="40">
        <f t="shared" ref="W63:W64" si="155">ROUND(I63*1.0327,2)</f>
        <v>223.11</v>
      </c>
      <c r="X63" s="43">
        <f t="shared" si="2"/>
        <v>62.369999999999891</v>
      </c>
      <c r="Y63" s="43">
        <f t="shared" si="2"/>
        <v>-86.110000000000014</v>
      </c>
      <c r="Z63" s="43">
        <v>1227.6300000000001</v>
      </c>
      <c r="AA63" s="43"/>
      <c r="AB63" s="43">
        <f t="shared" si="3"/>
        <v>1227.6300000000001</v>
      </c>
      <c r="AC63" s="43">
        <f t="shared" si="4"/>
        <v>0</v>
      </c>
      <c r="AD63" s="43">
        <f t="shared" ref="AD63:AE64" si="156">IF(X63&gt;0,V63,R63)</f>
        <v>1227.6300000000001</v>
      </c>
      <c r="AE63" s="43">
        <f t="shared" si="156"/>
        <v>137</v>
      </c>
      <c r="AF63" s="43">
        <f t="shared" si="5"/>
        <v>123.6</v>
      </c>
      <c r="AG63" s="43">
        <f t="shared" si="6"/>
        <v>307</v>
      </c>
      <c r="AH63" s="43">
        <f t="shared" si="6"/>
        <v>34</v>
      </c>
      <c r="AI63" s="93">
        <f t="shared" si="7"/>
        <v>102</v>
      </c>
      <c r="AJ63" s="43">
        <f t="shared" si="7"/>
        <v>11</v>
      </c>
      <c r="AK63" s="43"/>
      <c r="AL63" s="43"/>
      <c r="AM63" s="43">
        <f t="shared" si="8"/>
        <v>306.91000000000003</v>
      </c>
      <c r="AN63" s="43">
        <f t="shared" si="9"/>
        <v>33.36</v>
      </c>
      <c r="AO63" s="43"/>
      <c r="AP63" s="43"/>
      <c r="AQ63" s="43">
        <f t="shared" si="10"/>
        <v>613.91000000000008</v>
      </c>
      <c r="AR63" s="43">
        <f t="shared" si="10"/>
        <v>67.36</v>
      </c>
      <c r="AS63" s="43"/>
      <c r="AT63" s="43"/>
      <c r="AU63" s="43">
        <f t="shared" si="0"/>
        <v>306.91000000000003</v>
      </c>
      <c r="AV63" s="43">
        <f t="shared" si="0"/>
        <v>34.25</v>
      </c>
      <c r="AW63" s="43"/>
      <c r="AX63" s="43"/>
      <c r="AY63" s="43">
        <f t="shared" si="11"/>
        <v>1022.8200000000002</v>
      </c>
      <c r="AZ63" s="43">
        <f t="shared" si="11"/>
        <v>112.61</v>
      </c>
      <c r="BA63" s="43">
        <f t="shared" si="12"/>
        <v>1135.43</v>
      </c>
      <c r="BB63" s="60">
        <v>998.82</v>
      </c>
      <c r="BC63" s="60">
        <v>91.18</v>
      </c>
      <c r="BD63" s="60">
        <f t="shared" si="13"/>
        <v>24.000000000000114</v>
      </c>
      <c r="BE63" s="60">
        <f t="shared" si="13"/>
        <v>21.429999999999993</v>
      </c>
      <c r="BF63" s="60">
        <f t="shared" si="14"/>
        <v>199.76</v>
      </c>
      <c r="BG63" s="60">
        <f t="shared" si="14"/>
        <v>18.239999999999998</v>
      </c>
      <c r="BH63" s="43">
        <v>87.88</v>
      </c>
      <c r="BI63" s="43">
        <v>0</v>
      </c>
      <c r="BJ63" s="43"/>
      <c r="BK63" s="43">
        <v>25.21</v>
      </c>
      <c r="BL63" s="43">
        <f t="shared" si="1"/>
        <v>1110.7000000000003</v>
      </c>
      <c r="BM63" s="43">
        <f t="shared" si="1"/>
        <v>137.82</v>
      </c>
      <c r="BN63" s="43">
        <f t="shared" si="15"/>
        <v>1248.5200000000002</v>
      </c>
      <c r="BO63" s="43">
        <v>1073.8900000000001</v>
      </c>
      <c r="BP63" s="93">
        <v>113.26</v>
      </c>
      <c r="BQ63" s="43">
        <f t="shared" si="16"/>
        <v>36.810000000000173</v>
      </c>
      <c r="BR63" s="43">
        <f t="shared" si="16"/>
        <v>24.559999999999988</v>
      </c>
      <c r="BS63" s="43">
        <f t="shared" si="17"/>
        <v>97.63</v>
      </c>
      <c r="BT63" s="43">
        <f t="shared" si="17"/>
        <v>10.3</v>
      </c>
      <c r="BU63" s="43">
        <v>60.82</v>
      </c>
      <c r="BV63" s="43">
        <v>0</v>
      </c>
      <c r="BW63" s="43"/>
      <c r="BX63" s="43"/>
      <c r="BY63" s="43"/>
      <c r="BZ63" s="43"/>
      <c r="CA63" s="43">
        <v>1171.5200000000002</v>
      </c>
      <c r="CB63" s="43">
        <v>137.82</v>
      </c>
      <c r="CC63" s="92">
        <v>1288.67</v>
      </c>
      <c r="CD63" s="92">
        <v>158.49</v>
      </c>
      <c r="CE63" s="92">
        <v>107</v>
      </c>
      <c r="CF63" s="92">
        <v>13</v>
      </c>
      <c r="CG63" s="92">
        <f t="shared" si="19"/>
        <v>292.88</v>
      </c>
      <c r="CH63" s="92">
        <f t="shared" si="19"/>
        <v>34.46</v>
      </c>
      <c r="CI63" s="43"/>
      <c r="CJ63" s="43"/>
      <c r="CK63" s="43">
        <v>300</v>
      </c>
      <c r="CL63" s="72">
        <f>60-20</f>
        <v>40</v>
      </c>
      <c r="CM63" s="72"/>
      <c r="CN63" s="72"/>
      <c r="CO63" s="43">
        <v>1320</v>
      </c>
      <c r="CP63" s="43">
        <v>182</v>
      </c>
      <c r="CQ63" s="43">
        <f t="shared" si="20"/>
        <v>1200</v>
      </c>
      <c r="CR63" s="43">
        <f t="shared" si="20"/>
        <v>160</v>
      </c>
      <c r="CS63" s="43">
        <f t="shared" si="21"/>
        <v>1200</v>
      </c>
      <c r="CT63" s="43">
        <f t="shared" si="21"/>
        <v>160</v>
      </c>
      <c r="CU63" s="43">
        <f t="shared" si="21"/>
        <v>1200</v>
      </c>
      <c r="CV63" s="43">
        <f t="shared" si="21"/>
        <v>160</v>
      </c>
      <c r="CW63" s="43">
        <f t="shared" si="22"/>
        <v>300</v>
      </c>
      <c r="CX63" s="43">
        <f>ROUND(CV63*25%,2)-10</f>
        <v>30</v>
      </c>
      <c r="CY63" s="43"/>
      <c r="CZ63" s="43"/>
      <c r="DA63" s="43">
        <f t="shared" si="23"/>
        <v>707</v>
      </c>
      <c r="DB63" s="43">
        <f t="shared" si="23"/>
        <v>83</v>
      </c>
      <c r="DC63" s="43">
        <v>740.14</v>
      </c>
      <c r="DD63" s="43">
        <v>81.61</v>
      </c>
      <c r="DE63" s="43">
        <f t="shared" si="24"/>
        <v>-33.139999999999986</v>
      </c>
      <c r="DF63" s="43">
        <f t="shared" si="24"/>
        <v>1.3900000000000006</v>
      </c>
      <c r="DG63" s="43">
        <f>ROUND(0.25*(MIN(CU63,EW63)),2)</f>
        <v>300</v>
      </c>
      <c r="DH63" s="43">
        <f>ROUND(0.25*(MIN(CV63,EX63)),2)</f>
        <v>40</v>
      </c>
      <c r="DI63" s="43">
        <f>+DG63-DE63</f>
        <v>333.14</v>
      </c>
      <c r="DJ63" s="43">
        <f>+DH63-DF63+38.39</f>
        <v>77</v>
      </c>
      <c r="DK63" s="43"/>
      <c r="DL63" s="43"/>
      <c r="DM63" s="43">
        <f t="shared" si="25"/>
        <v>1040.1399999999999</v>
      </c>
      <c r="DN63" s="43">
        <f t="shared" si="25"/>
        <v>160</v>
      </c>
      <c r="DO63" s="94">
        <v>1058.25</v>
      </c>
      <c r="DP63" s="95">
        <v>152.08000000000001</v>
      </c>
      <c r="DQ63" s="60">
        <f t="shared" si="26"/>
        <v>-18.11</v>
      </c>
      <c r="DR63" s="60">
        <f t="shared" si="26"/>
        <v>7.92</v>
      </c>
      <c r="DS63" s="60">
        <f t="shared" si="27"/>
        <v>105.825</v>
      </c>
      <c r="DT63" s="60">
        <f t="shared" si="27"/>
        <v>15.208000000000002</v>
      </c>
      <c r="DU63" s="60">
        <f t="shared" si="28"/>
        <v>123.935</v>
      </c>
      <c r="DV63" s="60">
        <f t="shared" si="28"/>
        <v>7.288000000000002</v>
      </c>
      <c r="DW63" s="60"/>
      <c r="DX63" s="60"/>
      <c r="DY63" s="60">
        <f t="shared" si="29"/>
        <v>123.94</v>
      </c>
      <c r="DZ63" s="60">
        <f>ROUND(DV63+DX63,2)-7.29</f>
        <v>0</v>
      </c>
      <c r="EA63" s="60"/>
      <c r="EB63" s="60"/>
      <c r="EC63" s="43">
        <f t="shared" si="30"/>
        <v>1164.08</v>
      </c>
      <c r="ED63" s="43">
        <f t="shared" si="30"/>
        <v>160</v>
      </c>
      <c r="EE63" s="43">
        <v>1160.1500000000001</v>
      </c>
      <c r="EF63" s="43">
        <v>153.41</v>
      </c>
      <c r="EG63" s="43">
        <f t="shared" si="66"/>
        <v>99.66</v>
      </c>
      <c r="EH63" s="43">
        <f t="shared" si="66"/>
        <v>95.88</v>
      </c>
      <c r="EI63" s="43">
        <f t="shared" si="32"/>
        <v>3.93</v>
      </c>
      <c r="EJ63" s="43">
        <f t="shared" si="32"/>
        <v>6.59</v>
      </c>
      <c r="EK63" s="43">
        <f t="shared" si="33"/>
        <v>105.47</v>
      </c>
      <c r="EL63" s="43">
        <f t="shared" si="33"/>
        <v>13.95</v>
      </c>
      <c r="EM63" s="43">
        <f t="shared" si="34"/>
        <v>101.53999999999999</v>
      </c>
      <c r="EN63" s="43">
        <f t="shared" si="34"/>
        <v>7.3599999999999994</v>
      </c>
      <c r="EO63" s="43">
        <v>106</v>
      </c>
      <c r="EP63" s="43">
        <v>75.42</v>
      </c>
      <c r="EQ63" s="5"/>
      <c r="ER63" s="5"/>
      <c r="ES63" s="5"/>
      <c r="ET63" s="5"/>
      <c r="EU63" s="5">
        <f t="shared" si="88"/>
        <v>-15.079999999999927</v>
      </c>
      <c r="EV63" s="5">
        <f t="shared" si="88"/>
        <v>-75.42</v>
      </c>
      <c r="EW63" s="5">
        <v>1255</v>
      </c>
      <c r="EX63" s="5">
        <v>160</v>
      </c>
      <c r="EY63" s="5">
        <v>1300</v>
      </c>
      <c r="EZ63" s="5">
        <v>171</v>
      </c>
    </row>
    <row r="64" spans="1:160" ht="18.75" x14ac:dyDescent="0.25">
      <c r="A64" s="37">
        <v>46</v>
      </c>
      <c r="B64" s="37"/>
      <c r="C64" s="91" t="s">
        <v>193</v>
      </c>
      <c r="D64" s="38" t="s">
        <v>195</v>
      </c>
      <c r="E64" s="39"/>
      <c r="F64" s="40">
        <v>803.35000000000014</v>
      </c>
      <c r="G64" s="40">
        <v>0</v>
      </c>
      <c r="H64" s="40">
        <v>1104.18</v>
      </c>
      <c r="I64" s="40">
        <v>0</v>
      </c>
      <c r="J64" s="41">
        <v>880.3</v>
      </c>
      <c r="K64" s="41">
        <v>0</v>
      </c>
      <c r="L64" s="41">
        <v>0</v>
      </c>
      <c r="M64" s="41">
        <f t="shared" si="148"/>
        <v>880.3</v>
      </c>
      <c r="N64" s="41">
        <v>295.42</v>
      </c>
      <c r="O64" s="41">
        <v>0</v>
      </c>
      <c r="P64" s="41">
        <v>0</v>
      </c>
      <c r="Q64" s="41">
        <f t="shared" si="153"/>
        <v>295.42</v>
      </c>
      <c r="R64" s="41">
        <f t="shared" si="106"/>
        <v>1175.72</v>
      </c>
      <c r="S64" s="41">
        <v>0</v>
      </c>
      <c r="T64" s="92"/>
      <c r="U64" s="92"/>
      <c r="V64" s="40">
        <f t="shared" si="154"/>
        <v>1168.55</v>
      </c>
      <c r="W64" s="40">
        <f t="shared" si="155"/>
        <v>0</v>
      </c>
      <c r="X64" s="43">
        <f t="shared" si="2"/>
        <v>7.1700000000000728</v>
      </c>
      <c r="Y64" s="43">
        <f t="shared" si="2"/>
        <v>0</v>
      </c>
      <c r="Z64" s="43">
        <v>880.3</v>
      </c>
      <c r="AA64" s="43">
        <v>288.25</v>
      </c>
      <c r="AB64" s="43">
        <f t="shared" si="3"/>
        <v>1168.55</v>
      </c>
      <c r="AC64" s="43">
        <f t="shared" si="4"/>
        <v>0</v>
      </c>
      <c r="AD64" s="43">
        <f t="shared" si="156"/>
        <v>1168.55</v>
      </c>
      <c r="AE64" s="43">
        <f t="shared" si="156"/>
        <v>0</v>
      </c>
      <c r="AF64" s="43">
        <f t="shared" si="5"/>
        <v>0</v>
      </c>
      <c r="AG64" s="43">
        <f t="shared" si="6"/>
        <v>292</v>
      </c>
      <c r="AH64" s="43">
        <f t="shared" si="6"/>
        <v>0</v>
      </c>
      <c r="AI64" s="93">
        <f t="shared" si="7"/>
        <v>97</v>
      </c>
      <c r="AJ64" s="43">
        <f t="shared" si="7"/>
        <v>0</v>
      </c>
      <c r="AK64" s="43"/>
      <c r="AL64" s="43"/>
      <c r="AM64" s="43">
        <f t="shared" si="8"/>
        <v>292.14</v>
      </c>
      <c r="AN64" s="43">
        <f t="shared" si="9"/>
        <v>0</v>
      </c>
      <c r="AO64" s="43"/>
      <c r="AP64" s="43"/>
      <c r="AQ64" s="43">
        <f t="shared" si="10"/>
        <v>584.14</v>
      </c>
      <c r="AR64" s="43">
        <f t="shared" si="10"/>
        <v>0</v>
      </c>
      <c r="AS64" s="43"/>
      <c r="AT64" s="43"/>
      <c r="AU64" s="43">
        <f t="shared" si="0"/>
        <v>292.14</v>
      </c>
      <c r="AV64" s="43">
        <f t="shared" si="0"/>
        <v>0</v>
      </c>
      <c r="AW64" s="43"/>
      <c r="AX64" s="43"/>
      <c r="AY64" s="43">
        <f t="shared" si="11"/>
        <v>973.28</v>
      </c>
      <c r="AZ64" s="43">
        <f t="shared" si="11"/>
        <v>0</v>
      </c>
      <c r="BA64" s="43">
        <f t="shared" si="12"/>
        <v>973.28</v>
      </c>
      <c r="BB64" s="60">
        <v>782.56</v>
      </c>
      <c r="BC64" s="60"/>
      <c r="BD64" s="60">
        <f t="shared" si="13"/>
        <v>190.72000000000003</v>
      </c>
      <c r="BE64" s="60">
        <f t="shared" si="13"/>
        <v>0</v>
      </c>
      <c r="BF64" s="60">
        <f t="shared" si="14"/>
        <v>156.51</v>
      </c>
      <c r="BG64" s="60">
        <f t="shared" si="14"/>
        <v>0</v>
      </c>
      <c r="BH64" s="43">
        <v>0</v>
      </c>
      <c r="BI64" s="43">
        <v>0</v>
      </c>
      <c r="BJ64" s="43"/>
      <c r="BK64" s="43"/>
      <c r="BL64" s="43">
        <f t="shared" si="1"/>
        <v>973.28</v>
      </c>
      <c r="BM64" s="43">
        <f t="shared" si="1"/>
        <v>0</v>
      </c>
      <c r="BN64" s="43">
        <f t="shared" si="15"/>
        <v>973.28</v>
      </c>
      <c r="BO64" s="43">
        <v>957.95</v>
      </c>
      <c r="BP64" s="93"/>
      <c r="BQ64" s="43">
        <f t="shared" si="16"/>
        <v>15.329999999999927</v>
      </c>
      <c r="BR64" s="43">
        <f t="shared" si="16"/>
        <v>0</v>
      </c>
      <c r="BS64" s="43">
        <f t="shared" si="17"/>
        <v>87.09</v>
      </c>
      <c r="BT64" s="43">
        <f t="shared" si="17"/>
        <v>0</v>
      </c>
      <c r="BU64" s="43">
        <v>71.760000000000005</v>
      </c>
      <c r="BV64" s="43">
        <f t="shared" si="99"/>
        <v>0</v>
      </c>
      <c r="BW64" s="43"/>
      <c r="BX64" s="43"/>
      <c r="BY64" s="43"/>
      <c r="BZ64" s="43"/>
      <c r="CA64" s="43">
        <v>1045.04</v>
      </c>
      <c r="CB64" s="43">
        <v>0</v>
      </c>
      <c r="CC64" s="92">
        <v>1149.54</v>
      </c>
      <c r="CD64" s="92">
        <v>0</v>
      </c>
      <c r="CE64" s="92">
        <v>96</v>
      </c>
      <c r="CF64" s="92">
        <v>0</v>
      </c>
      <c r="CG64" s="92">
        <f t="shared" si="19"/>
        <v>261.26</v>
      </c>
      <c r="CH64" s="92">
        <f t="shared" si="19"/>
        <v>0</v>
      </c>
      <c r="CI64" s="43"/>
      <c r="CJ64" s="43"/>
      <c r="CK64" s="72">
        <f>300-10</f>
        <v>290</v>
      </c>
      <c r="CL64" s="43">
        <v>0</v>
      </c>
      <c r="CM64" s="43"/>
      <c r="CN64" s="43"/>
      <c r="CO64" s="43">
        <v>1167</v>
      </c>
      <c r="CP64" s="43"/>
      <c r="CQ64" s="43">
        <f t="shared" si="20"/>
        <v>1160</v>
      </c>
      <c r="CR64" s="43">
        <f t="shared" si="20"/>
        <v>0</v>
      </c>
      <c r="CS64" s="43">
        <f t="shared" si="21"/>
        <v>1160</v>
      </c>
      <c r="CT64" s="43">
        <f t="shared" si="21"/>
        <v>0</v>
      </c>
      <c r="CU64" s="43">
        <f t="shared" si="21"/>
        <v>1160</v>
      </c>
      <c r="CV64" s="43">
        <f t="shared" si="21"/>
        <v>0</v>
      </c>
      <c r="CW64" s="43">
        <f t="shared" si="22"/>
        <v>290</v>
      </c>
      <c r="CX64" s="43">
        <f t="shared" si="22"/>
        <v>0</v>
      </c>
      <c r="CY64" s="43"/>
      <c r="CZ64" s="43"/>
      <c r="DA64" s="43">
        <f t="shared" si="23"/>
        <v>676</v>
      </c>
      <c r="DB64" s="43">
        <f t="shared" si="23"/>
        <v>0</v>
      </c>
      <c r="DC64" s="43">
        <v>588.74</v>
      </c>
      <c r="DD64" s="43">
        <v>0</v>
      </c>
      <c r="DE64" s="43">
        <f t="shared" si="24"/>
        <v>87.259999999999991</v>
      </c>
      <c r="DF64" s="43">
        <f t="shared" si="24"/>
        <v>0</v>
      </c>
      <c r="DG64" s="43">
        <f>ROUND(0.25*(MIN(CU64,EW64)),2)</f>
        <v>250</v>
      </c>
      <c r="DH64" s="43">
        <f>ROUND(0.25*(MIN(CV64,EX64)),2)</f>
        <v>0</v>
      </c>
      <c r="DI64" s="43">
        <f>+DG64-DE64</f>
        <v>162.74</v>
      </c>
      <c r="DJ64" s="43">
        <f>+DH64-DF64</f>
        <v>0</v>
      </c>
      <c r="DK64" s="43"/>
      <c r="DL64" s="43"/>
      <c r="DM64" s="43">
        <f t="shared" si="25"/>
        <v>838.74</v>
      </c>
      <c r="DN64" s="43">
        <f t="shared" si="25"/>
        <v>0</v>
      </c>
      <c r="DO64" s="94">
        <v>729.87</v>
      </c>
      <c r="DP64" s="95">
        <v>0</v>
      </c>
      <c r="DQ64" s="60">
        <f t="shared" si="26"/>
        <v>108.87</v>
      </c>
      <c r="DR64" s="60">
        <f t="shared" si="26"/>
        <v>0</v>
      </c>
      <c r="DS64" s="60">
        <f t="shared" si="27"/>
        <v>72.986999999999995</v>
      </c>
      <c r="DT64" s="60">
        <f t="shared" si="27"/>
        <v>0</v>
      </c>
      <c r="DU64" s="60">
        <f t="shared" si="28"/>
        <v>-35.88300000000001</v>
      </c>
      <c r="DV64" s="60">
        <f t="shared" si="28"/>
        <v>0</v>
      </c>
      <c r="DW64" s="60"/>
      <c r="DX64" s="60"/>
      <c r="DY64" s="60">
        <f t="shared" si="29"/>
        <v>-35.880000000000003</v>
      </c>
      <c r="DZ64" s="60">
        <f t="shared" si="29"/>
        <v>0</v>
      </c>
      <c r="EA64" s="60"/>
      <c r="EB64" s="60"/>
      <c r="EC64" s="43">
        <f t="shared" si="30"/>
        <v>802.86</v>
      </c>
      <c r="ED64" s="43">
        <f t="shared" si="30"/>
        <v>0</v>
      </c>
      <c r="EE64" s="43">
        <v>737.08</v>
      </c>
      <c r="EF64" s="43">
        <v>0</v>
      </c>
      <c r="EG64" s="43">
        <f t="shared" si="66"/>
        <v>91.81</v>
      </c>
      <c r="EH64" s="43" t="e">
        <f t="shared" si="66"/>
        <v>#DIV/0!</v>
      </c>
      <c r="EI64" s="43">
        <f t="shared" si="32"/>
        <v>65.78</v>
      </c>
      <c r="EJ64" s="43">
        <f t="shared" si="32"/>
        <v>0</v>
      </c>
      <c r="EK64" s="43">
        <f t="shared" si="33"/>
        <v>67.010000000000005</v>
      </c>
      <c r="EL64" s="43">
        <f t="shared" si="33"/>
        <v>0</v>
      </c>
      <c r="EM64" s="43">
        <f t="shared" si="34"/>
        <v>1.230000000000004</v>
      </c>
      <c r="EN64" s="43">
        <f t="shared" si="34"/>
        <v>0</v>
      </c>
      <c r="EO64" s="43">
        <v>340</v>
      </c>
      <c r="EP64" s="43">
        <v>0</v>
      </c>
      <c r="EQ64" s="5"/>
      <c r="ER64" s="5"/>
      <c r="ES64" s="5"/>
      <c r="ET64" s="5"/>
      <c r="EU64" s="5">
        <f t="shared" si="88"/>
        <v>-142.86000000000001</v>
      </c>
      <c r="EV64" s="5">
        <f t="shared" si="88"/>
        <v>0</v>
      </c>
      <c r="EW64" s="5">
        <v>1000</v>
      </c>
      <c r="EX64" s="5">
        <v>0</v>
      </c>
      <c r="EY64" s="5">
        <v>1050</v>
      </c>
      <c r="EZ64" s="5">
        <v>0</v>
      </c>
    </row>
    <row r="65" spans="1:160" ht="18.75" x14ac:dyDescent="0.25">
      <c r="A65" s="68"/>
      <c r="B65" s="68" t="s">
        <v>196</v>
      </c>
      <c r="C65" s="91" t="s">
        <v>193</v>
      </c>
      <c r="D65" s="67" t="s">
        <v>194</v>
      </c>
      <c r="E65" s="69" t="s">
        <v>197</v>
      </c>
      <c r="F65" s="70">
        <v>1963.3500000000001</v>
      </c>
      <c r="G65" s="70">
        <v>216.04999999999998</v>
      </c>
      <c r="H65" s="70">
        <v>2264.1800000000003</v>
      </c>
      <c r="I65" s="70">
        <v>216.04999999999998</v>
      </c>
      <c r="J65" s="71">
        <f t="shared" ref="J65:AA65" si="157">+J63+J64</f>
        <v>2170.3000000000002</v>
      </c>
      <c r="K65" s="71">
        <f t="shared" si="157"/>
        <v>0</v>
      </c>
      <c r="L65" s="71">
        <f t="shared" si="157"/>
        <v>0</v>
      </c>
      <c r="M65" s="71">
        <f t="shared" si="157"/>
        <v>2170.3000000000002</v>
      </c>
      <c r="N65" s="71">
        <f t="shared" si="157"/>
        <v>295.42</v>
      </c>
      <c r="O65" s="71">
        <f t="shared" si="157"/>
        <v>0</v>
      </c>
      <c r="P65" s="71">
        <f t="shared" si="157"/>
        <v>0</v>
      </c>
      <c r="Q65" s="71">
        <f t="shared" si="157"/>
        <v>295.42</v>
      </c>
      <c r="R65" s="71">
        <f t="shared" si="157"/>
        <v>2465.7200000000003</v>
      </c>
      <c r="S65" s="71">
        <f t="shared" si="157"/>
        <v>137</v>
      </c>
      <c r="T65" s="71">
        <f t="shared" si="157"/>
        <v>0</v>
      </c>
      <c r="U65" s="71">
        <f t="shared" si="157"/>
        <v>0</v>
      </c>
      <c r="V65" s="71">
        <f t="shared" si="157"/>
        <v>2396.1800000000003</v>
      </c>
      <c r="W65" s="71">
        <f t="shared" si="157"/>
        <v>223.11</v>
      </c>
      <c r="X65" s="71">
        <f t="shared" si="157"/>
        <v>69.539999999999964</v>
      </c>
      <c r="Y65" s="71">
        <f t="shared" si="157"/>
        <v>-86.110000000000014</v>
      </c>
      <c r="Z65" s="71">
        <f t="shared" si="157"/>
        <v>2107.9300000000003</v>
      </c>
      <c r="AA65" s="71">
        <f t="shared" si="157"/>
        <v>288.25</v>
      </c>
      <c r="AB65" s="70">
        <f t="shared" si="3"/>
        <v>2396.1800000000003</v>
      </c>
      <c r="AC65" s="43">
        <f t="shared" si="4"/>
        <v>0</v>
      </c>
      <c r="AD65" s="70">
        <f t="shared" ref="AD65:CP65" si="158">+AD63+AD64</f>
        <v>2396.1800000000003</v>
      </c>
      <c r="AE65" s="70">
        <f t="shared" si="158"/>
        <v>137</v>
      </c>
      <c r="AF65" s="70">
        <f t="shared" si="158"/>
        <v>123.6</v>
      </c>
      <c r="AG65" s="70">
        <f t="shared" si="158"/>
        <v>599</v>
      </c>
      <c r="AH65" s="70">
        <f t="shared" si="158"/>
        <v>34</v>
      </c>
      <c r="AI65" s="96">
        <f t="shared" si="158"/>
        <v>199</v>
      </c>
      <c r="AJ65" s="70">
        <f t="shared" si="158"/>
        <v>11</v>
      </c>
      <c r="AK65" s="70">
        <f t="shared" si="158"/>
        <v>0</v>
      </c>
      <c r="AL65" s="70">
        <f t="shared" si="158"/>
        <v>0</v>
      </c>
      <c r="AM65" s="70">
        <f t="shared" si="158"/>
        <v>599.04999999999995</v>
      </c>
      <c r="AN65" s="70">
        <f t="shared" si="158"/>
        <v>33.36</v>
      </c>
      <c r="AO65" s="70">
        <f t="shared" si="158"/>
        <v>0</v>
      </c>
      <c r="AP65" s="70">
        <f t="shared" si="158"/>
        <v>0</v>
      </c>
      <c r="AQ65" s="70">
        <f t="shared" si="158"/>
        <v>1198.0500000000002</v>
      </c>
      <c r="AR65" s="70">
        <f t="shared" si="158"/>
        <v>67.36</v>
      </c>
      <c r="AS65" s="70">
        <f t="shared" si="158"/>
        <v>0</v>
      </c>
      <c r="AT65" s="70">
        <f t="shared" si="158"/>
        <v>0</v>
      </c>
      <c r="AU65" s="70">
        <f t="shared" si="158"/>
        <v>599.04999999999995</v>
      </c>
      <c r="AV65" s="70">
        <f t="shared" si="158"/>
        <v>34.25</v>
      </c>
      <c r="AW65" s="70">
        <f t="shared" si="158"/>
        <v>0</v>
      </c>
      <c r="AX65" s="70">
        <f t="shared" si="158"/>
        <v>0</v>
      </c>
      <c r="AY65" s="70">
        <f t="shared" si="158"/>
        <v>1996.1000000000001</v>
      </c>
      <c r="AZ65" s="70">
        <f t="shared" si="158"/>
        <v>112.61</v>
      </c>
      <c r="BA65" s="70">
        <f t="shared" si="158"/>
        <v>2108.71</v>
      </c>
      <c r="BB65" s="70">
        <f t="shared" si="158"/>
        <v>1781.38</v>
      </c>
      <c r="BC65" s="70">
        <f t="shared" si="158"/>
        <v>91.18</v>
      </c>
      <c r="BD65" s="70">
        <f t="shared" si="158"/>
        <v>214.72000000000014</v>
      </c>
      <c r="BE65" s="70">
        <f t="shared" si="158"/>
        <v>21.429999999999993</v>
      </c>
      <c r="BF65" s="70">
        <f t="shared" si="158"/>
        <v>356.27</v>
      </c>
      <c r="BG65" s="96">
        <f t="shared" si="158"/>
        <v>18.239999999999998</v>
      </c>
      <c r="BH65" s="96">
        <f t="shared" si="158"/>
        <v>87.88</v>
      </c>
      <c r="BI65" s="96">
        <f t="shared" si="158"/>
        <v>0</v>
      </c>
      <c r="BJ65" s="96">
        <f t="shared" si="158"/>
        <v>0</v>
      </c>
      <c r="BK65" s="96">
        <f t="shared" si="158"/>
        <v>25.21</v>
      </c>
      <c r="BL65" s="96">
        <f t="shared" si="158"/>
        <v>2083.9800000000005</v>
      </c>
      <c r="BM65" s="96">
        <f t="shared" si="158"/>
        <v>137.82</v>
      </c>
      <c r="BN65" s="96">
        <f t="shared" si="158"/>
        <v>2221.8000000000002</v>
      </c>
      <c r="BO65" s="96">
        <f t="shared" si="158"/>
        <v>2031.8400000000001</v>
      </c>
      <c r="BP65" s="96">
        <f t="shared" si="158"/>
        <v>113.26</v>
      </c>
      <c r="BQ65" s="70">
        <f t="shared" si="158"/>
        <v>52.1400000000001</v>
      </c>
      <c r="BR65" s="70">
        <f t="shared" si="158"/>
        <v>24.559999999999988</v>
      </c>
      <c r="BS65" s="70">
        <f t="shared" si="158"/>
        <v>184.72</v>
      </c>
      <c r="BT65" s="70">
        <f t="shared" si="158"/>
        <v>10.3</v>
      </c>
      <c r="BU65" s="70">
        <f t="shared" si="158"/>
        <v>132.58000000000001</v>
      </c>
      <c r="BV65" s="70">
        <f t="shared" si="158"/>
        <v>0</v>
      </c>
      <c r="BW65" s="70">
        <f t="shared" si="158"/>
        <v>0</v>
      </c>
      <c r="BX65" s="70">
        <f t="shared" si="158"/>
        <v>0</v>
      </c>
      <c r="BY65" s="70">
        <f t="shared" si="158"/>
        <v>0</v>
      </c>
      <c r="BZ65" s="70">
        <f t="shared" si="158"/>
        <v>0</v>
      </c>
      <c r="CA65" s="70">
        <f t="shared" si="158"/>
        <v>2216.5600000000004</v>
      </c>
      <c r="CB65" s="70">
        <f t="shared" si="158"/>
        <v>137.82</v>
      </c>
      <c r="CC65" s="70">
        <f t="shared" si="158"/>
        <v>2438.21</v>
      </c>
      <c r="CD65" s="70">
        <f t="shared" si="158"/>
        <v>158.49</v>
      </c>
      <c r="CE65" s="70">
        <f t="shared" si="158"/>
        <v>203</v>
      </c>
      <c r="CF65" s="70">
        <f t="shared" si="158"/>
        <v>13</v>
      </c>
      <c r="CG65" s="70">
        <f t="shared" si="158"/>
        <v>554.14</v>
      </c>
      <c r="CH65" s="96">
        <f t="shared" si="158"/>
        <v>34.46</v>
      </c>
      <c r="CI65" s="70">
        <f t="shared" si="158"/>
        <v>0</v>
      </c>
      <c r="CJ65" s="70">
        <f t="shared" si="158"/>
        <v>0</v>
      </c>
      <c r="CK65" s="70">
        <f t="shared" si="158"/>
        <v>590</v>
      </c>
      <c r="CL65" s="70">
        <f t="shared" si="158"/>
        <v>40</v>
      </c>
      <c r="CM65" s="70">
        <f t="shared" si="158"/>
        <v>0</v>
      </c>
      <c r="CN65" s="70">
        <f t="shared" si="158"/>
        <v>0</v>
      </c>
      <c r="CO65" s="70">
        <f t="shared" si="158"/>
        <v>2487</v>
      </c>
      <c r="CP65" s="70">
        <f t="shared" si="158"/>
        <v>182</v>
      </c>
      <c r="CQ65" s="70">
        <f t="shared" ref="CQ65:FB65" si="159">+CQ63+CQ64</f>
        <v>2360</v>
      </c>
      <c r="CR65" s="70">
        <f t="shared" si="159"/>
        <v>160</v>
      </c>
      <c r="CS65" s="70">
        <f t="shared" si="159"/>
        <v>2360</v>
      </c>
      <c r="CT65" s="70">
        <f t="shared" si="159"/>
        <v>160</v>
      </c>
      <c r="CU65" s="70">
        <f t="shared" si="159"/>
        <v>2360</v>
      </c>
      <c r="CV65" s="70">
        <f t="shared" si="159"/>
        <v>160</v>
      </c>
      <c r="CW65" s="70">
        <f t="shared" si="159"/>
        <v>590</v>
      </c>
      <c r="CX65" s="70">
        <f t="shared" si="159"/>
        <v>30</v>
      </c>
      <c r="CY65" s="70">
        <f t="shared" si="159"/>
        <v>0</v>
      </c>
      <c r="CZ65" s="70">
        <f t="shared" si="159"/>
        <v>0</v>
      </c>
      <c r="DA65" s="70">
        <f t="shared" si="159"/>
        <v>1383</v>
      </c>
      <c r="DB65" s="70">
        <f t="shared" si="159"/>
        <v>83</v>
      </c>
      <c r="DC65" s="70">
        <f t="shared" si="159"/>
        <v>1328.88</v>
      </c>
      <c r="DD65" s="70">
        <f t="shared" si="159"/>
        <v>81.61</v>
      </c>
      <c r="DE65" s="70">
        <f t="shared" si="159"/>
        <v>54.120000000000005</v>
      </c>
      <c r="DF65" s="70">
        <f t="shared" si="159"/>
        <v>1.3900000000000006</v>
      </c>
      <c r="DG65" s="70">
        <f t="shared" si="159"/>
        <v>550</v>
      </c>
      <c r="DH65" s="70">
        <f t="shared" si="159"/>
        <v>40</v>
      </c>
      <c r="DI65" s="70">
        <f t="shared" si="159"/>
        <v>495.88</v>
      </c>
      <c r="DJ65" s="70">
        <f t="shared" si="159"/>
        <v>77</v>
      </c>
      <c r="DK65" s="70">
        <f t="shared" si="159"/>
        <v>0</v>
      </c>
      <c r="DL65" s="70">
        <f t="shared" si="159"/>
        <v>0</v>
      </c>
      <c r="DM65" s="70">
        <f t="shared" si="159"/>
        <v>1878.8799999999999</v>
      </c>
      <c r="DN65" s="70">
        <f t="shared" si="159"/>
        <v>160</v>
      </c>
      <c r="DO65" s="97">
        <f t="shared" si="159"/>
        <v>1788.12</v>
      </c>
      <c r="DP65" s="98">
        <f t="shared" si="159"/>
        <v>152.08000000000001</v>
      </c>
      <c r="DQ65" s="98">
        <f t="shared" si="159"/>
        <v>90.76</v>
      </c>
      <c r="DR65" s="98">
        <f t="shared" si="159"/>
        <v>7.92</v>
      </c>
      <c r="DS65" s="98">
        <f t="shared" si="159"/>
        <v>178.81200000000001</v>
      </c>
      <c r="DT65" s="98">
        <f t="shared" si="159"/>
        <v>15.208000000000002</v>
      </c>
      <c r="DU65" s="98">
        <f t="shared" si="159"/>
        <v>88.051999999999992</v>
      </c>
      <c r="DV65" s="98">
        <f t="shared" si="159"/>
        <v>7.288000000000002</v>
      </c>
      <c r="DW65" s="98">
        <f t="shared" si="159"/>
        <v>0</v>
      </c>
      <c r="DX65" s="98">
        <f t="shared" si="159"/>
        <v>0</v>
      </c>
      <c r="DY65" s="98">
        <f t="shared" si="159"/>
        <v>88.06</v>
      </c>
      <c r="DZ65" s="98">
        <f t="shared" si="159"/>
        <v>0</v>
      </c>
      <c r="EA65" s="98">
        <f t="shared" si="159"/>
        <v>0</v>
      </c>
      <c r="EB65" s="134">
        <f t="shared" si="159"/>
        <v>0</v>
      </c>
      <c r="EC65" s="140">
        <f t="shared" si="159"/>
        <v>1966.94</v>
      </c>
      <c r="ED65" s="140">
        <f t="shared" si="159"/>
        <v>160</v>
      </c>
      <c r="EE65" s="140">
        <f t="shared" si="159"/>
        <v>1897.23</v>
      </c>
      <c r="EF65" s="140">
        <f t="shared" si="159"/>
        <v>153.41</v>
      </c>
      <c r="EG65" s="140">
        <f t="shared" si="159"/>
        <v>191.47</v>
      </c>
      <c r="EH65" s="140" t="e">
        <f t="shared" si="159"/>
        <v>#DIV/0!</v>
      </c>
      <c r="EI65" s="140">
        <f t="shared" si="159"/>
        <v>69.710000000000008</v>
      </c>
      <c r="EJ65" s="140">
        <f t="shared" si="159"/>
        <v>6.59</v>
      </c>
      <c r="EK65" s="140">
        <f t="shared" si="159"/>
        <v>172.48000000000002</v>
      </c>
      <c r="EL65" s="140">
        <f t="shared" si="159"/>
        <v>13.95</v>
      </c>
      <c r="EM65" s="140">
        <f t="shared" si="159"/>
        <v>102.77</v>
      </c>
      <c r="EN65" s="140">
        <f t="shared" si="159"/>
        <v>7.3599999999999994</v>
      </c>
      <c r="EO65" s="140">
        <f t="shared" si="159"/>
        <v>446</v>
      </c>
      <c r="EP65" s="140">
        <f t="shared" si="159"/>
        <v>75.42</v>
      </c>
      <c r="EQ65" s="136">
        <f t="shared" si="159"/>
        <v>0</v>
      </c>
      <c r="ER65" s="47">
        <f t="shared" si="159"/>
        <v>0</v>
      </c>
      <c r="ES65" s="47">
        <f t="shared" si="159"/>
        <v>0</v>
      </c>
      <c r="ET65" s="47">
        <f t="shared" si="159"/>
        <v>0</v>
      </c>
      <c r="EU65" s="5">
        <f t="shared" si="88"/>
        <v>-157.94000000000005</v>
      </c>
      <c r="EV65" s="5">
        <f t="shared" si="88"/>
        <v>-75.42</v>
      </c>
      <c r="EW65" s="46">
        <f t="shared" si="159"/>
        <v>2255</v>
      </c>
      <c r="EX65" s="46">
        <f t="shared" si="159"/>
        <v>160</v>
      </c>
      <c r="EY65" s="46">
        <f t="shared" si="159"/>
        <v>2350</v>
      </c>
      <c r="EZ65" s="46">
        <f t="shared" si="159"/>
        <v>171</v>
      </c>
      <c r="FA65" s="46">
        <f t="shared" si="159"/>
        <v>0</v>
      </c>
      <c r="FB65" s="46">
        <f t="shared" si="159"/>
        <v>0</v>
      </c>
      <c r="FC65" s="46">
        <f t="shared" ref="FC65" si="160">+FC63+FC64</f>
        <v>0</v>
      </c>
    </row>
    <row r="66" spans="1:160" ht="18.75" x14ac:dyDescent="0.25">
      <c r="A66" s="37">
        <v>47</v>
      </c>
      <c r="B66" s="37"/>
      <c r="C66" s="91" t="s">
        <v>198</v>
      </c>
      <c r="D66" s="38" t="s">
        <v>199</v>
      </c>
      <c r="E66" s="39"/>
      <c r="F66" s="40">
        <v>1115.5099999999998</v>
      </c>
      <c r="G66" s="40">
        <v>193.5</v>
      </c>
      <c r="H66" s="40">
        <v>1115.5099999999998</v>
      </c>
      <c r="I66" s="40">
        <v>193.5</v>
      </c>
      <c r="J66" s="41">
        <v>1428</v>
      </c>
      <c r="K66" s="41">
        <v>0</v>
      </c>
      <c r="L66" s="41">
        <v>0.25</v>
      </c>
      <c r="M66" s="41">
        <f t="shared" si="148"/>
        <v>1428.25</v>
      </c>
      <c r="N66" s="41">
        <v>0</v>
      </c>
      <c r="O66" s="41">
        <v>0</v>
      </c>
      <c r="P66" s="41">
        <v>0</v>
      </c>
      <c r="Q66" s="41">
        <f t="shared" ref="Q66:Q70" si="161">N66+O66+P66</f>
        <v>0</v>
      </c>
      <c r="R66" s="41">
        <f t="shared" si="106"/>
        <v>1428.25</v>
      </c>
      <c r="S66" s="41">
        <v>200.5</v>
      </c>
      <c r="T66" s="92"/>
      <c r="U66" s="92"/>
      <c r="V66" s="40">
        <f t="shared" ref="V66:V67" si="162">ROUND(H66*1.0583,2)</f>
        <v>1180.54</v>
      </c>
      <c r="W66" s="40">
        <f t="shared" ref="W66:W67" si="163">ROUND(I66*1.0327,2)</f>
        <v>199.83</v>
      </c>
      <c r="X66" s="43">
        <f t="shared" si="2"/>
        <v>247.71000000000004</v>
      </c>
      <c r="Y66" s="43">
        <f t="shared" si="2"/>
        <v>0.66999999999998749</v>
      </c>
      <c r="Z66" s="43">
        <v>1180.54</v>
      </c>
      <c r="AA66" s="43"/>
      <c r="AB66" s="43">
        <f t="shared" si="3"/>
        <v>1180.54</v>
      </c>
      <c r="AC66" s="43">
        <f t="shared" si="4"/>
        <v>0</v>
      </c>
      <c r="AD66" s="43">
        <f t="shared" ref="AD66:AE67" si="164">IF(X66&gt;0,V66,R66)</f>
        <v>1180.54</v>
      </c>
      <c r="AE66" s="43">
        <f t="shared" si="164"/>
        <v>199.83</v>
      </c>
      <c r="AF66" s="43">
        <f t="shared" si="5"/>
        <v>180.89</v>
      </c>
      <c r="AG66" s="43">
        <f t="shared" si="6"/>
        <v>295</v>
      </c>
      <c r="AH66" s="43">
        <f t="shared" si="6"/>
        <v>50</v>
      </c>
      <c r="AI66" s="93">
        <f t="shared" si="7"/>
        <v>98</v>
      </c>
      <c r="AJ66" s="43">
        <f t="shared" si="7"/>
        <v>17</v>
      </c>
      <c r="AK66" s="43"/>
      <c r="AL66" s="43"/>
      <c r="AM66" s="43">
        <f t="shared" si="8"/>
        <v>295.14</v>
      </c>
      <c r="AN66" s="43">
        <f t="shared" si="9"/>
        <v>48.66</v>
      </c>
      <c r="AO66" s="43"/>
      <c r="AP66" s="43"/>
      <c r="AQ66" s="43">
        <f t="shared" si="10"/>
        <v>590.14</v>
      </c>
      <c r="AR66" s="43">
        <f t="shared" si="10"/>
        <v>98.66</v>
      </c>
      <c r="AS66" s="43"/>
      <c r="AT66" s="43"/>
      <c r="AU66" s="43">
        <f t="shared" ref="AU66:AV87" si="165">ROUND(AD66*25%,2)</f>
        <v>295.14</v>
      </c>
      <c r="AV66" s="43">
        <f t="shared" si="165"/>
        <v>49.96</v>
      </c>
      <c r="AW66" s="43"/>
      <c r="AX66" s="43"/>
      <c r="AY66" s="43">
        <f t="shared" ref="AY66:AZ127" si="166">+AQ66+AS66+AU66+AW66+AI66</f>
        <v>983.28</v>
      </c>
      <c r="AZ66" s="43">
        <f t="shared" si="166"/>
        <v>165.62</v>
      </c>
      <c r="BA66" s="43">
        <f t="shared" ref="BA66:BA129" si="167">+AY66+AZ66</f>
        <v>1148.9000000000001</v>
      </c>
      <c r="BB66" s="60">
        <v>972.64</v>
      </c>
      <c r="BC66" s="60">
        <v>152.38999999999999</v>
      </c>
      <c r="BD66" s="60">
        <f t="shared" ref="BD66:BE127" si="168">AY66-BB66</f>
        <v>10.639999999999986</v>
      </c>
      <c r="BE66" s="60">
        <f t="shared" si="168"/>
        <v>13.230000000000018</v>
      </c>
      <c r="BF66" s="60">
        <f t="shared" ref="BF66:BG127" si="169">ROUND(BB66/10*2,2)</f>
        <v>194.53</v>
      </c>
      <c r="BG66" s="60">
        <f t="shared" si="169"/>
        <v>30.48</v>
      </c>
      <c r="BH66" s="43">
        <v>91.95</v>
      </c>
      <c r="BI66" s="43">
        <v>8.6300000000000008</v>
      </c>
      <c r="BJ66" s="43"/>
      <c r="BK66" s="43">
        <v>40.07</v>
      </c>
      <c r="BL66" s="43">
        <f t="shared" si="1"/>
        <v>1075.23</v>
      </c>
      <c r="BM66" s="43">
        <f t="shared" si="1"/>
        <v>214.32</v>
      </c>
      <c r="BN66" s="43">
        <f t="shared" si="15"/>
        <v>1289.55</v>
      </c>
      <c r="BO66" s="43">
        <v>1067.44</v>
      </c>
      <c r="BP66" s="93">
        <v>174.25</v>
      </c>
      <c r="BQ66" s="43">
        <f t="shared" si="16"/>
        <v>7.7899999999999636</v>
      </c>
      <c r="BR66" s="43">
        <f t="shared" si="16"/>
        <v>40.069999999999993</v>
      </c>
      <c r="BS66" s="43">
        <f t="shared" si="17"/>
        <v>97.04</v>
      </c>
      <c r="BT66" s="43">
        <f t="shared" si="17"/>
        <v>15.84</v>
      </c>
      <c r="BU66" s="43">
        <f t="shared" si="40"/>
        <v>89.250000000000043</v>
      </c>
      <c r="BV66" s="43">
        <v>0</v>
      </c>
      <c r="BW66" s="43">
        <v>43.4</v>
      </c>
      <c r="BX66" s="43"/>
      <c r="BY66" s="43"/>
      <c r="BZ66" s="43"/>
      <c r="CA66" s="43">
        <v>1207.8800000000001</v>
      </c>
      <c r="CB66" s="43">
        <v>214.32</v>
      </c>
      <c r="CC66" s="92">
        <v>1328.67</v>
      </c>
      <c r="CD66" s="92">
        <v>246.47</v>
      </c>
      <c r="CE66" s="92">
        <v>111</v>
      </c>
      <c r="CF66" s="92">
        <v>21</v>
      </c>
      <c r="CG66" s="92">
        <f t="shared" si="19"/>
        <v>301.97000000000003</v>
      </c>
      <c r="CH66" s="92">
        <f t="shared" si="19"/>
        <v>53.58</v>
      </c>
      <c r="CI66" s="43"/>
      <c r="CJ66" s="43"/>
      <c r="CK66" s="43">
        <v>305.5</v>
      </c>
      <c r="CL66" s="43">
        <v>25.5</v>
      </c>
      <c r="CM66" s="43"/>
      <c r="CN66" s="43"/>
      <c r="CO66" s="43">
        <v>1300</v>
      </c>
      <c r="CP66" s="43">
        <v>50</v>
      </c>
      <c r="CQ66" s="43">
        <f t="shared" si="20"/>
        <v>1222</v>
      </c>
      <c r="CR66" s="43">
        <f t="shared" si="20"/>
        <v>102</v>
      </c>
      <c r="CS66" s="43">
        <f t="shared" si="21"/>
        <v>1222</v>
      </c>
      <c r="CT66" s="43">
        <f t="shared" si="21"/>
        <v>50</v>
      </c>
      <c r="CU66" s="43">
        <v>1405.8</v>
      </c>
      <c r="CV66" s="43">
        <v>74.960000000000008</v>
      </c>
      <c r="CW66" s="43">
        <f t="shared" si="22"/>
        <v>351.45</v>
      </c>
      <c r="CX66" s="43">
        <f t="shared" si="22"/>
        <v>18.739999999999998</v>
      </c>
      <c r="CY66" s="43"/>
      <c r="CZ66" s="43"/>
      <c r="DA66" s="43">
        <f t="shared" si="23"/>
        <v>767.95</v>
      </c>
      <c r="DB66" s="43">
        <f t="shared" si="23"/>
        <v>65.239999999999995</v>
      </c>
      <c r="DC66" s="43">
        <v>723.63</v>
      </c>
      <c r="DD66" s="43">
        <v>30.02</v>
      </c>
      <c r="DE66" s="43">
        <f t="shared" si="24"/>
        <v>44.32000000000005</v>
      </c>
      <c r="DF66" s="43">
        <f t="shared" si="24"/>
        <v>35.22</v>
      </c>
      <c r="DG66" s="43">
        <f>ROUND(0.25*(MIN(CU66,EW66)),2)</f>
        <v>325</v>
      </c>
      <c r="DH66" s="43">
        <f>ROUND(0.25*(MIN(CV66,EX66)),2)</f>
        <v>13.5</v>
      </c>
      <c r="DI66" s="43">
        <f>+DG66-DE66</f>
        <v>280.67999999999995</v>
      </c>
      <c r="DJ66" s="72">
        <f>+DH66-DF66+21.72</f>
        <v>0</v>
      </c>
      <c r="DK66" s="72">
        <v>40</v>
      </c>
      <c r="DL66" s="72">
        <v>0</v>
      </c>
      <c r="DM66" s="43">
        <f t="shared" si="25"/>
        <v>1088.6300000000001</v>
      </c>
      <c r="DN66" s="43">
        <f t="shared" si="25"/>
        <v>65.239999999999995</v>
      </c>
      <c r="DO66" s="94">
        <v>1067.3800000000001</v>
      </c>
      <c r="DP66" s="95">
        <v>49.3</v>
      </c>
      <c r="DQ66" s="60">
        <f t="shared" si="26"/>
        <v>21.25</v>
      </c>
      <c r="DR66" s="60">
        <f t="shared" si="26"/>
        <v>15.94</v>
      </c>
      <c r="DS66" s="60">
        <f t="shared" si="27"/>
        <v>106.73800000000001</v>
      </c>
      <c r="DT66" s="60">
        <f t="shared" si="27"/>
        <v>4.93</v>
      </c>
      <c r="DU66" s="60">
        <f t="shared" si="28"/>
        <v>85.488000000000014</v>
      </c>
      <c r="DV66" s="60">
        <f t="shared" si="28"/>
        <v>-11.01</v>
      </c>
      <c r="DW66" s="60"/>
      <c r="DX66" s="60"/>
      <c r="DY66" s="60">
        <f t="shared" si="29"/>
        <v>85.49</v>
      </c>
      <c r="DZ66" s="60">
        <v>0</v>
      </c>
      <c r="EA66" s="60">
        <v>20</v>
      </c>
      <c r="EB66" s="60"/>
      <c r="EC66" s="43">
        <f t="shared" si="30"/>
        <v>1194.1200000000001</v>
      </c>
      <c r="ED66" s="43">
        <f t="shared" si="30"/>
        <v>65.239999999999995</v>
      </c>
      <c r="EE66" s="43">
        <v>1177.05</v>
      </c>
      <c r="EF66" s="43">
        <v>55.87</v>
      </c>
      <c r="EG66" s="43">
        <f t="shared" si="66"/>
        <v>98.57</v>
      </c>
      <c r="EH66" s="43">
        <f t="shared" si="66"/>
        <v>85.64</v>
      </c>
      <c r="EI66" s="43">
        <f t="shared" si="32"/>
        <v>17.07</v>
      </c>
      <c r="EJ66" s="43">
        <f t="shared" si="32"/>
        <v>9.3699999999999992</v>
      </c>
      <c r="EK66" s="43">
        <f t="shared" si="33"/>
        <v>107</v>
      </c>
      <c r="EL66" s="43">
        <f t="shared" si="33"/>
        <v>5.08</v>
      </c>
      <c r="EM66" s="43">
        <f t="shared" si="34"/>
        <v>89.93</v>
      </c>
      <c r="EN66" s="43">
        <f t="shared" si="34"/>
        <v>-4.2899999999999991</v>
      </c>
      <c r="EO66" s="43">
        <v>101.34</v>
      </c>
      <c r="EP66" s="43">
        <v>0</v>
      </c>
      <c r="EQ66" s="5"/>
      <c r="ER66" s="5"/>
      <c r="ES66" s="5"/>
      <c r="ET66" s="5"/>
      <c r="EU66" s="5">
        <f t="shared" si="88"/>
        <v>4.5399999999998784</v>
      </c>
      <c r="EV66" s="5">
        <f t="shared" si="88"/>
        <v>-11.239999999999995</v>
      </c>
      <c r="EW66" s="5">
        <v>1300</v>
      </c>
      <c r="EX66" s="58">
        <v>54</v>
      </c>
      <c r="EY66" s="5">
        <v>1425</v>
      </c>
      <c r="EZ66" s="5">
        <v>100</v>
      </c>
    </row>
    <row r="67" spans="1:160" ht="18.75" x14ac:dyDescent="0.25">
      <c r="A67" s="37">
        <v>48</v>
      </c>
      <c r="B67" s="37"/>
      <c r="C67" s="91" t="s">
        <v>198</v>
      </c>
      <c r="D67" s="38" t="s">
        <v>200</v>
      </c>
      <c r="E67" s="39"/>
      <c r="F67" s="40">
        <v>205.81000000000003</v>
      </c>
      <c r="G67" s="40">
        <v>0</v>
      </c>
      <c r="H67" s="40">
        <v>205.81000000000003</v>
      </c>
      <c r="I67" s="40">
        <v>0</v>
      </c>
      <c r="J67" s="41">
        <v>265.91000000000003</v>
      </c>
      <c r="K67" s="41">
        <v>0</v>
      </c>
      <c r="L67" s="41">
        <v>0</v>
      </c>
      <c r="M67" s="41">
        <f t="shared" si="148"/>
        <v>265.91000000000003</v>
      </c>
      <c r="N67" s="41">
        <v>29.98</v>
      </c>
      <c r="O67" s="41">
        <v>0</v>
      </c>
      <c r="P67" s="41">
        <v>0</v>
      </c>
      <c r="Q67" s="41">
        <f t="shared" si="161"/>
        <v>29.98</v>
      </c>
      <c r="R67" s="41">
        <f t="shared" si="106"/>
        <v>295.89000000000004</v>
      </c>
      <c r="S67" s="41">
        <v>0</v>
      </c>
      <c r="T67" s="92"/>
      <c r="U67" s="92"/>
      <c r="V67" s="40">
        <f t="shared" si="162"/>
        <v>217.81</v>
      </c>
      <c r="W67" s="40">
        <f t="shared" si="163"/>
        <v>0</v>
      </c>
      <c r="X67" s="43">
        <f t="shared" ref="X67:Y128" si="170">R67-V67</f>
        <v>78.080000000000041</v>
      </c>
      <c r="Y67" s="43">
        <f t="shared" si="170"/>
        <v>0</v>
      </c>
      <c r="Z67" s="43">
        <v>200</v>
      </c>
      <c r="AA67" s="43">
        <v>17.809999999999999</v>
      </c>
      <c r="AB67" s="43">
        <f t="shared" si="3"/>
        <v>217.81</v>
      </c>
      <c r="AC67" s="43">
        <f t="shared" si="4"/>
        <v>0</v>
      </c>
      <c r="AD67" s="43">
        <f t="shared" si="164"/>
        <v>217.81</v>
      </c>
      <c r="AE67" s="43">
        <f t="shared" si="164"/>
        <v>0</v>
      </c>
      <c r="AF67" s="43">
        <f t="shared" si="5"/>
        <v>0</v>
      </c>
      <c r="AG67" s="43">
        <f t="shared" ref="AG67:AH128" si="171">ROUND(AD67/4,0)</f>
        <v>54</v>
      </c>
      <c r="AH67" s="43">
        <f t="shared" si="171"/>
        <v>0</v>
      </c>
      <c r="AI67" s="93">
        <f t="shared" ref="AI67:AJ128" si="172">ROUND(AD67/12,0)</f>
        <v>18</v>
      </c>
      <c r="AJ67" s="43">
        <f t="shared" si="172"/>
        <v>0</v>
      </c>
      <c r="AK67" s="43"/>
      <c r="AL67" s="43"/>
      <c r="AM67" s="43">
        <f t="shared" si="8"/>
        <v>54.45</v>
      </c>
      <c r="AN67" s="43">
        <f t="shared" si="9"/>
        <v>0</v>
      </c>
      <c r="AO67" s="43"/>
      <c r="AP67" s="43"/>
      <c r="AQ67" s="43">
        <f t="shared" ref="AQ67:AR128" si="173">+AM67+AK67+AG67+AO67</f>
        <v>108.45</v>
      </c>
      <c r="AR67" s="43">
        <f t="shared" si="173"/>
        <v>0</v>
      </c>
      <c r="AS67" s="43"/>
      <c r="AT67" s="43"/>
      <c r="AU67" s="43">
        <f t="shared" si="165"/>
        <v>54.45</v>
      </c>
      <c r="AV67" s="43">
        <f t="shared" si="165"/>
        <v>0</v>
      </c>
      <c r="AW67" s="43"/>
      <c r="AX67" s="43"/>
      <c r="AY67" s="43">
        <f t="shared" si="166"/>
        <v>180.9</v>
      </c>
      <c r="AZ67" s="43">
        <f t="shared" si="166"/>
        <v>0</v>
      </c>
      <c r="BA67" s="43">
        <f t="shared" si="167"/>
        <v>180.9</v>
      </c>
      <c r="BB67" s="60">
        <v>180.9</v>
      </c>
      <c r="BC67" s="60"/>
      <c r="BD67" s="60">
        <f t="shared" si="168"/>
        <v>0</v>
      </c>
      <c r="BE67" s="60">
        <f t="shared" si="168"/>
        <v>0</v>
      </c>
      <c r="BF67" s="60">
        <f t="shared" si="169"/>
        <v>36.18</v>
      </c>
      <c r="BG67" s="60">
        <f t="shared" si="169"/>
        <v>0</v>
      </c>
      <c r="BH67" s="43">
        <v>18.09</v>
      </c>
      <c r="BI67" s="43">
        <v>0</v>
      </c>
      <c r="BJ67" s="43"/>
      <c r="BK67" s="43"/>
      <c r="BL67" s="43">
        <f t="shared" si="1"/>
        <v>198.99</v>
      </c>
      <c r="BM67" s="43">
        <f t="shared" si="1"/>
        <v>0</v>
      </c>
      <c r="BN67" s="43">
        <f t="shared" si="15"/>
        <v>198.99</v>
      </c>
      <c r="BO67" s="43">
        <v>180.9</v>
      </c>
      <c r="BP67" s="93"/>
      <c r="BQ67" s="43">
        <f t="shared" si="16"/>
        <v>18.090000000000003</v>
      </c>
      <c r="BR67" s="43">
        <f t="shared" si="16"/>
        <v>0</v>
      </c>
      <c r="BS67" s="43">
        <f t="shared" si="17"/>
        <v>16.45</v>
      </c>
      <c r="BT67" s="43">
        <f t="shared" si="17"/>
        <v>0</v>
      </c>
      <c r="BU67" s="43">
        <f t="shared" si="40"/>
        <v>-1.6400000000000041</v>
      </c>
      <c r="BV67" s="43">
        <f t="shared" si="99"/>
        <v>0</v>
      </c>
      <c r="BW67" s="43">
        <v>19.73</v>
      </c>
      <c r="BX67" s="43"/>
      <c r="BY67" s="43"/>
      <c r="BZ67" s="43"/>
      <c r="CA67" s="43">
        <v>217.07999999999998</v>
      </c>
      <c r="CB67" s="43">
        <v>0</v>
      </c>
      <c r="CC67" s="92">
        <v>238.79</v>
      </c>
      <c r="CD67" s="92">
        <v>0</v>
      </c>
      <c r="CE67" s="92">
        <v>20</v>
      </c>
      <c r="CF67" s="92">
        <v>0</v>
      </c>
      <c r="CG67" s="92">
        <f t="shared" si="19"/>
        <v>54.27</v>
      </c>
      <c r="CH67" s="92">
        <f t="shared" si="19"/>
        <v>0</v>
      </c>
      <c r="CI67" s="43"/>
      <c r="CJ67" s="43"/>
      <c r="CK67" s="43">
        <v>62.41</v>
      </c>
      <c r="CL67" s="43">
        <v>0</v>
      </c>
      <c r="CM67" s="43"/>
      <c r="CN67" s="43"/>
      <c r="CO67" s="43">
        <v>253.24</v>
      </c>
      <c r="CP67" s="43"/>
      <c r="CQ67" s="43">
        <f t="shared" si="20"/>
        <v>249.64</v>
      </c>
      <c r="CR67" s="43">
        <f t="shared" si="20"/>
        <v>0</v>
      </c>
      <c r="CS67" s="43">
        <f t="shared" si="21"/>
        <v>249.64</v>
      </c>
      <c r="CT67" s="43">
        <f t="shared" si="21"/>
        <v>0</v>
      </c>
      <c r="CU67" s="43">
        <f t="shared" si="21"/>
        <v>249.64</v>
      </c>
      <c r="CV67" s="43">
        <f t="shared" si="21"/>
        <v>0</v>
      </c>
      <c r="CW67" s="43">
        <f t="shared" si="22"/>
        <v>62.41</v>
      </c>
      <c r="CX67" s="43">
        <f t="shared" si="22"/>
        <v>0</v>
      </c>
      <c r="CY67" s="43"/>
      <c r="CZ67" s="43"/>
      <c r="DA67" s="43">
        <f t="shared" si="23"/>
        <v>144.82</v>
      </c>
      <c r="DB67" s="43">
        <f t="shared" si="23"/>
        <v>0</v>
      </c>
      <c r="DC67" s="43">
        <f>132.46+12.36</f>
        <v>144.82</v>
      </c>
      <c r="DD67" s="43">
        <v>0</v>
      </c>
      <c r="DE67" s="43">
        <f t="shared" si="24"/>
        <v>0</v>
      </c>
      <c r="DF67" s="43">
        <f t="shared" si="24"/>
        <v>0</v>
      </c>
      <c r="DG67" s="43">
        <f>ROUND(0.25*(MIN(CU67,EW67)),2)</f>
        <v>62.41</v>
      </c>
      <c r="DH67" s="43">
        <f>ROUND(0.25*(MIN(CV67,EX67)),2)</f>
        <v>0</v>
      </c>
      <c r="DI67" s="43">
        <f>+DG67-DE67</f>
        <v>62.41</v>
      </c>
      <c r="DJ67" s="43">
        <f>+DH67-DF67</f>
        <v>0</v>
      </c>
      <c r="DK67" s="43"/>
      <c r="DL67" s="43"/>
      <c r="DM67" s="43">
        <f t="shared" si="25"/>
        <v>207.23</v>
      </c>
      <c r="DN67" s="43">
        <f t="shared" si="25"/>
        <v>0</v>
      </c>
      <c r="DO67" s="94">
        <f>189.69+17.54</f>
        <v>207.23</v>
      </c>
      <c r="DP67" s="95">
        <v>0</v>
      </c>
      <c r="DQ67" s="60">
        <f t="shared" si="26"/>
        <v>0</v>
      </c>
      <c r="DR67" s="60">
        <f t="shared" si="26"/>
        <v>0</v>
      </c>
      <c r="DS67" s="60">
        <f t="shared" si="27"/>
        <v>20.722999999999999</v>
      </c>
      <c r="DT67" s="60">
        <f t="shared" si="27"/>
        <v>0</v>
      </c>
      <c r="DU67" s="60">
        <f t="shared" si="28"/>
        <v>20.722999999999999</v>
      </c>
      <c r="DV67" s="60">
        <f t="shared" si="28"/>
        <v>0</v>
      </c>
      <c r="DW67" s="60"/>
      <c r="DX67" s="60"/>
      <c r="DY67" s="60">
        <f t="shared" si="29"/>
        <v>20.72</v>
      </c>
      <c r="DZ67" s="60">
        <f t="shared" si="29"/>
        <v>0</v>
      </c>
      <c r="EA67" s="60"/>
      <c r="EB67" s="60"/>
      <c r="EC67" s="43">
        <f t="shared" si="30"/>
        <v>227.95</v>
      </c>
      <c r="ED67" s="43">
        <f t="shared" si="30"/>
        <v>0</v>
      </c>
      <c r="EE67" s="43">
        <v>207.23</v>
      </c>
      <c r="EF67" s="43">
        <v>0</v>
      </c>
      <c r="EG67" s="43">
        <f t="shared" si="66"/>
        <v>90.91</v>
      </c>
      <c r="EH67" s="43" t="e">
        <f t="shared" si="66"/>
        <v>#DIV/0!</v>
      </c>
      <c r="EI67" s="43">
        <f t="shared" si="32"/>
        <v>20.72</v>
      </c>
      <c r="EJ67" s="43">
        <f t="shared" si="32"/>
        <v>0</v>
      </c>
      <c r="EK67" s="43">
        <f t="shared" si="33"/>
        <v>18.84</v>
      </c>
      <c r="EL67" s="43">
        <f t="shared" si="33"/>
        <v>0</v>
      </c>
      <c r="EM67" s="43">
        <f t="shared" si="34"/>
        <v>-1.879999999999999</v>
      </c>
      <c r="EN67" s="43">
        <f t="shared" si="34"/>
        <v>0</v>
      </c>
      <c r="EO67" s="43">
        <v>20.72</v>
      </c>
      <c r="EP67" s="43">
        <v>0</v>
      </c>
      <c r="EQ67" s="5"/>
      <c r="ER67" s="5"/>
      <c r="ES67" s="5"/>
      <c r="ET67" s="5"/>
      <c r="EU67" s="5">
        <f t="shared" si="88"/>
        <v>132.97</v>
      </c>
      <c r="EV67" s="5">
        <f t="shared" si="88"/>
        <v>0</v>
      </c>
      <c r="EW67" s="5">
        <f>20.7+360.94</f>
        <v>381.64</v>
      </c>
      <c r="EX67" s="5">
        <v>0</v>
      </c>
      <c r="EY67" s="58">
        <f>22.16+319.84</f>
        <v>342</v>
      </c>
      <c r="EZ67" s="5">
        <v>0</v>
      </c>
    </row>
    <row r="68" spans="1:160" ht="18.75" x14ac:dyDescent="0.25">
      <c r="A68" s="68"/>
      <c r="B68" s="68" t="s">
        <v>201</v>
      </c>
      <c r="C68" s="91" t="s">
        <v>198</v>
      </c>
      <c r="D68" s="67" t="s">
        <v>199</v>
      </c>
      <c r="E68" s="69" t="s">
        <v>202</v>
      </c>
      <c r="F68" s="70">
        <v>1321.3199999999997</v>
      </c>
      <c r="G68" s="70">
        <v>193.5</v>
      </c>
      <c r="H68" s="70">
        <v>1321.3199999999997</v>
      </c>
      <c r="I68" s="70">
        <v>193.5</v>
      </c>
      <c r="J68" s="71">
        <f t="shared" ref="J68:AA68" si="174">+J66+J67</f>
        <v>1693.91</v>
      </c>
      <c r="K68" s="71">
        <f t="shared" si="174"/>
        <v>0</v>
      </c>
      <c r="L68" s="71">
        <f t="shared" si="174"/>
        <v>0.25</v>
      </c>
      <c r="M68" s="71">
        <f t="shared" si="174"/>
        <v>1694.16</v>
      </c>
      <c r="N68" s="71">
        <f t="shared" si="174"/>
        <v>29.98</v>
      </c>
      <c r="O68" s="71">
        <f t="shared" si="174"/>
        <v>0</v>
      </c>
      <c r="P68" s="71">
        <f t="shared" si="174"/>
        <v>0</v>
      </c>
      <c r="Q68" s="71">
        <f t="shared" si="174"/>
        <v>29.98</v>
      </c>
      <c r="R68" s="71">
        <f t="shared" si="174"/>
        <v>1724.14</v>
      </c>
      <c r="S68" s="71">
        <f t="shared" si="174"/>
        <v>200.5</v>
      </c>
      <c r="T68" s="71">
        <f t="shared" si="174"/>
        <v>0</v>
      </c>
      <c r="U68" s="71">
        <f t="shared" si="174"/>
        <v>0</v>
      </c>
      <c r="V68" s="71">
        <f t="shared" si="174"/>
        <v>1398.35</v>
      </c>
      <c r="W68" s="71">
        <f t="shared" si="174"/>
        <v>199.83</v>
      </c>
      <c r="X68" s="71">
        <f t="shared" si="174"/>
        <v>325.79000000000008</v>
      </c>
      <c r="Y68" s="71">
        <f t="shared" si="174"/>
        <v>0.66999999999998749</v>
      </c>
      <c r="Z68" s="71">
        <f t="shared" si="174"/>
        <v>1380.54</v>
      </c>
      <c r="AA68" s="71">
        <f t="shared" si="174"/>
        <v>17.809999999999999</v>
      </c>
      <c r="AB68" s="70">
        <f t="shared" si="3"/>
        <v>1398.35</v>
      </c>
      <c r="AC68" s="43">
        <f t="shared" si="4"/>
        <v>0</v>
      </c>
      <c r="AD68" s="70">
        <f t="shared" ref="AD68:CP68" si="175">+AD66+AD67</f>
        <v>1398.35</v>
      </c>
      <c r="AE68" s="70">
        <f t="shared" si="175"/>
        <v>199.83</v>
      </c>
      <c r="AF68" s="70">
        <f t="shared" si="175"/>
        <v>180.89</v>
      </c>
      <c r="AG68" s="70">
        <f t="shared" si="175"/>
        <v>349</v>
      </c>
      <c r="AH68" s="70">
        <f t="shared" si="175"/>
        <v>50</v>
      </c>
      <c r="AI68" s="96">
        <f t="shared" si="175"/>
        <v>116</v>
      </c>
      <c r="AJ68" s="70">
        <f t="shared" si="175"/>
        <v>17</v>
      </c>
      <c r="AK68" s="70">
        <f t="shared" si="175"/>
        <v>0</v>
      </c>
      <c r="AL68" s="70">
        <f t="shared" si="175"/>
        <v>0</v>
      </c>
      <c r="AM68" s="70">
        <f t="shared" si="175"/>
        <v>349.59</v>
      </c>
      <c r="AN68" s="70">
        <f t="shared" si="175"/>
        <v>48.66</v>
      </c>
      <c r="AO68" s="70">
        <f t="shared" si="175"/>
        <v>0</v>
      </c>
      <c r="AP68" s="70">
        <f t="shared" si="175"/>
        <v>0</v>
      </c>
      <c r="AQ68" s="70">
        <f t="shared" si="175"/>
        <v>698.59</v>
      </c>
      <c r="AR68" s="70">
        <f t="shared" si="175"/>
        <v>98.66</v>
      </c>
      <c r="AS68" s="70">
        <f t="shared" si="175"/>
        <v>0</v>
      </c>
      <c r="AT68" s="70">
        <f t="shared" si="175"/>
        <v>0</v>
      </c>
      <c r="AU68" s="70">
        <f t="shared" si="175"/>
        <v>349.59</v>
      </c>
      <c r="AV68" s="70">
        <f t="shared" si="175"/>
        <v>49.96</v>
      </c>
      <c r="AW68" s="70">
        <f t="shared" si="175"/>
        <v>0</v>
      </c>
      <c r="AX68" s="70">
        <f t="shared" si="175"/>
        <v>0</v>
      </c>
      <c r="AY68" s="70">
        <f t="shared" si="175"/>
        <v>1164.18</v>
      </c>
      <c r="AZ68" s="70">
        <f t="shared" si="175"/>
        <v>165.62</v>
      </c>
      <c r="BA68" s="70">
        <f t="shared" si="175"/>
        <v>1329.8000000000002</v>
      </c>
      <c r="BB68" s="70">
        <f t="shared" si="175"/>
        <v>1153.54</v>
      </c>
      <c r="BC68" s="70">
        <f t="shared" si="175"/>
        <v>152.38999999999999</v>
      </c>
      <c r="BD68" s="70">
        <f t="shared" si="175"/>
        <v>10.639999999999986</v>
      </c>
      <c r="BE68" s="70">
        <f t="shared" si="175"/>
        <v>13.230000000000018</v>
      </c>
      <c r="BF68" s="70">
        <f t="shared" si="175"/>
        <v>230.71</v>
      </c>
      <c r="BG68" s="96">
        <f t="shared" si="175"/>
        <v>30.48</v>
      </c>
      <c r="BH68" s="96">
        <f t="shared" si="175"/>
        <v>110.04</v>
      </c>
      <c r="BI68" s="96">
        <f t="shared" si="175"/>
        <v>8.6300000000000008</v>
      </c>
      <c r="BJ68" s="96">
        <f t="shared" si="175"/>
        <v>0</v>
      </c>
      <c r="BK68" s="96">
        <f t="shared" si="175"/>
        <v>40.07</v>
      </c>
      <c r="BL68" s="96">
        <f t="shared" si="175"/>
        <v>1274.22</v>
      </c>
      <c r="BM68" s="96">
        <f t="shared" si="175"/>
        <v>214.32</v>
      </c>
      <c r="BN68" s="96">
        <f t="shared" si="175"/>
        <v>1488.54</v>
      </c>
      <c r="BO68" s="96">
        <f t="shared" si="175"/>
        <v>1248.3400000000001</v>
      </c>
      <c r="BP68" s="96">
        <f t="shared" si="175"/>
        <v>174.25</v>
      </c>
      <c r="BQ68" s="70">
        <f t="shared" si="175"/>
        <v>25.879999999999967</v>
      </c>
      <c r="BR68" s="70">
        <f t="shared" si="175"/>
        <v>40.069999999999993</v>
      </c>
      <c r="BS68" s="70">
        <f t="shared" si="175"/>
        <v>113.49000000000001</v>
      </c>
      <c r="BT68" s="70">
        <f t="shared" si="175"/>
        <v>15.84</v>
      </c>
      <c r="BU68" s="70">
        <f t="shared" si="175"/>
        <v>87.610000000000042</v>
      </c>
      <c r="BV68" s="70">
        <f t="shared" si="175"/>
        <v>0</v>
      </c>
      <c r="BW68" s="70">
        <f t="shared" si="175"/>
        <v>63.129999999999995</v>
      </c>
      <c r="BX68" s="70">
        <f t="shared" si="175"/>
        <v>0</v>
      </c>
      <c r="BY68" s="70">
        <f t="shared" si="175"/>
        <v>0</v>
      </c>
      <c r="BZ68" s="70">
        <f t="shared" si="175"/>
        <v>0</v>
      </c>
      <c r="CA68" s="70">
        <f t="shared" si="175"/>
        <v>1424.96</v>
      </c>
      <c r="CB68" s="70">
        <f t="shared" si="175"/>
        <v>214.32</v>
      </c>
      <c r="CC68" s="70">
        <f t="shared" si="175"/>
        <v>1567.46</v>
      </c>
      <c r="CD68" s="70">
        <f t="shared" si="175"/>
        <v>246.47</v>
      </c>
      <c r="CE68" s="70">
        <f t="shared" si="175"/>
        <v>131</v>
      </c>
      <c r="CF68" s="70">
        <f t="shared" si="175"/>
        <v>21</v>
      </c>
      <c r="CG68" s="70">
        <f t="shared" si="175"/>
        <v>356.24</v>
      </c>
      <c r="CH68" s="96">
        <f t="shared" si="175"/>
        <v>53.58</v>
      </c>
      <c r="CI68" s="70">
        <f t="shared" si="175"/>
        <v>0</v>
      </c>
      <c r="CJ68" s="70">
        <f t="shared" si="175"/>
        <v>0</v>
      </c>
      <c r="CK68" s="70">
        <f t="shared" si="175"/>
        <v>367.90999999999997</v>
      </c>
      <c r="CL68" s="70">
        <f t="shared" si="175"/>
        <v>25.5</v>
      </c>
      <c r="CM68" s="70">
        <f t="shared" si="175"/>
        <v>0</v>
      </c>
      <c r="CN68" s="70">
        <f t="shared" si="175"/>
        <v>0</v>
      </c>
      <c r="CO68" s="70">
        <f t="shared" si="175"/>
        <v>1553.24</v>
      </c>
      <c r="CP68" s="70">
        <f t="shared" si="175"/>
        <v>50</v>
      </c>
      <c r="CQ68" s="70">
        <f t="shared" ref="CQ68:EZ68" si="176">+CQ66+CQ67</f>
        <v>1471.6399999999999</v>
      </c>
      <c r="CR68" s="70">
        <f t="shared" si="176"/>
        <v>102</v>
      </c>
      <c r="CS68" s="70">
        <f t="shared" si="176"/>
        <v>1471.6399999999999</v>
      </c>
      <c r="CT68" s="70">
        <f t="shared" si="176"/>
        <v>50</v>
      </c>
      <c r="CU68" s="70">
        <f t="shared" si="176"/>
        <v>1655.44</v>
      </c>
      <c r="CV68" s="70">
        <f t="shared" si="176"/>
        <v>74.960000000000008</v>
      </c>
      <c r="CW68" s="70">
        <f t="shared" si="176"/>
        <v>413.86</v>
      </c>
      <c r="CX68" s="70">
        <f t="shared" si="176"/>
        <v>18.739999999999998</v>
      </c>
      <c r="CY68" s="70">
        <f t="shared" si="176"/>
        <v>0</v>
      </c>
      <c r="CZ68" s="70">
        <f t="shared" si="176"/>
        <v>0</v>
      </c>
      <c r="DA68" s="70">
        <f t="shared" si="176"/>
        <v>912.77</v>
      </c>
      <c r="DB68" s="70">
        <f t="shared" si="176"/>
        <v>65.239999999999995</v>
      </c>
      <c r="DC68" s="70">
        <f t="shared" si="176"/>
        <v>868.45</v>
      </c>
      <c r="DD68" s="70">
        <f t="shared" si="176"/>
        <v>30.02</v>
      </c>
      <c r="DE68" s="70">
        <f t="shared" si="176"/>
        <v>44.32000000000005</v>
      </c>
      <c r="DF68" s="70">
        <f t="shared" si="176"/>
        <v>35.22</v>
      </c>
      <c r="DG68" s="70">
        <f t="shared" si="176"/>
        <v>387.40999999999997</v>
      </c>
      <c r="DH68" s="70">
        <f t="shared" si="176"/>
        <v>13.5</v>
      </c>
      <c r="DI68" s="70">
        <f t="shared" si="176"/>
        <v>343.08999999999992</v>
      </c>
      <c r="DJ68" s="70">
        <f t="shared" si="176"/>
        <v>0</v>
      </c>
      <c r="DK68" s="70">
        <f t="shared" si="176"/>
        <v>40</v>
      </c>
      <c r="DL68" s="70">
        <f t="shared" si="176"/>
        <v>0</v>
      </c>
      <c r="DM68" s="70">
        <f t="shared" si="176"/>
        <v>1295.8600000000001</v>
      </c>
      <c r="DN68" s="70">
        <f t="shared" si="176"/>
        <v>65.239999999999995</v>
      </c>
      <c r="DO68" s="97">
        <f t="shared" si="176"/>
        <v>1274.6100000000001</v>
      </c>
      <c r="DP68" s="98">
        <f t="shared" si="176"/>
        <v>49.3</v>
      </c>
      <c r="DQ68" s="98">
        <f t="shared" si="176"/>
        <v>21.25</v>
      </c>
      <c r="DR68" s="98">
        <f t="shared" si="176"/>
        <v>15.94</v>
      </c>
      <c r="DS68" s="98">
        <f t="shared" si="176"/>
        <v>127.46100000000001</v>
      </c>
      <c r="DT68" s="98">
        <f t="shared" si="176"/>
        <v>4.93</v>
      </c>
      <c r="DU68" s="98">
        <f t="shared" si="176"/>
        <v>106.21100000000001</v>
      </c>
      <c r="DV68" s="98">
        <f t="shared" si="176"/>
        <v>-11.01</v>
      </c>
      <c r="DW68" s="98">
        <f t="shared" si="176"/>
        <v>0</v>
      </c>
      <c r="DX68" s="98">
        <f t="shared" si="176"/>
        <v>0</v>
      </c>
      <c r="DY68" s="98">
        <f t="shared" si="176"/>
        <v>106.21</v>
      </c>
      <c r="DZ68" s="98">
        <f t="shared" si="176"/>
        <v>0</v>
      </c>
      <c r="EA68" s="98">
        <f t="shared" si="176"/>
        <v>20</v>
      </c>
      <c r="EB68" s="134">
        <f t="shared" si="176"/>
        <v>0</v>
      </c>
      <c r="EC68" s="140">
        <f t="shared" si="176"/>
        <v>1422.0700000000002</v>
      </c>
      <c r="ED68" s="140">
        <f t="shared" si="176"/>
        <v>65.239999999999995</v>
      </c>
      <c r="EE68" s="140">
        <f t="shared" si="176"/>
        <v>1384.28</v>
      </c>
      <c r="EF68" s="140">
        <f t="shared" si="176"/>
        <v>55.87</v>
      </c>
      <c r="EG68" s="140">
        <f t="shared" si="176"/>
        <v>189.48</v>
      </c>
      <c r="EH68" s="140" t="e">
        <f t="shared" si="176"/>
        <v>#DIV/0!</v>
      </c>
      <c r="EI68" s="140">
        <f t="shared" si="176"/>
        <v>37.79</v>
      </c>
      <c r="EJ68" s="140">
        <f t="shared" si="176"/>
        <v>9.3699999999999992</v>
      </c>
      <c r="EK68" s="140">
        <f t="shared" si="176"/>
        <v>125.84</v>
      </c>
      <c r="EL68" s="140">
        <f t="shared" si="176"/>
        <v>5.08</v>
      </c>
      <c r="EM68" s="140">
        <f t="shared" si="176"/>
        <v>88.050000000000011</v>
      </c>
      <c r="EN68" s="140">
        <f t="shared" si="176"/>
        <v>-4.2899999999999991</v>
      </c>
      <c r="EO68" s="140">
        <f t="shared" si="176"/>
        <v>122.06</v>
      </c>
      <c r="EP68" s="140">
        <f t="shared" si="176"/>
        <v>0</v>
      </c>
      <c r="EQ68" s="136">
        <f t="shared" si="176"/>
        <v>0</v>
      </c>
      <c r="ER68" s="47">
        <f t="shared" si="176"/>
        <v>0</v>
      </c>
      <c r="ES68" s="47">
        <f t="shared" si="176"/>
        <v>0</v>
      </c>
      <c r="ET68" s="47">
        <f t="shared" si="176"/>
        <v>0</v>
      </c>
      <c r="EU68" s="5">
        <f t="shared" si="88"/>
        <v>137.50999999999971</v>
      </c>
      <c r="EV68" s="5">
        <f t="shared" si="88"/>
        <v>-11.239999999999995</v>
      </c>
      <c r="EW68" s="47">
        <f t="shared" si="176"/>
        <v>1681.6399999999999</v>
      </c>
      <c r="EX68" s="47">
        <f t="shared" si="176"/>
        <v>54</v>
      </c>
      <c r="EY68" s="46">
        <f t="shared" si="176"/>
        <v>1767</v>
      </c>
      <c r="EZ68" s="46">
        <f t="shared" si="176"/>
        <v>100</v>
      </c>
    </row>
    <row r="69" spans="1:160" ht="18.75" x14ac:dyDescent="0.25">
      <c r="A69" s="37">
        <v>51</v>
      </c>
      <c r="B69" s="37"/>
      <c r="C69" s="91" t="s">
        <v>203</v>
      </c>
      <c r="D69" s="38" t="s">
        <v>204</v>
      </c>
      <c r="E69" s="39"/>
      <c r="F69" s="40">
        <v>693.3</v>
      </c>
      <c r="G69" s="40">
        <v>39.65</v>
      </c>
      <c r="H69" s="40">
        <v>696.65</v>
      </c>
      <c r="I69" s="40">
        <v>34.26</v>
      </c>
      <c r="J69" s="41">
        <v>770</v>
      </c>
      <c r="K69" s="41">
        <v>0</v>
      </c>
      <c r="L69" s="41">
        <v>0</v>
      </c>
      <c r="M69" s="41">
        <f t="shared" si="148"/>
        <v>770</v>
      </c>
      <c r="N69" s="41">
        <v>0</v>
      </c>
      <c r="O69" s="41">
        <v>0</v>
      </c>
      <c r="P69" s="41">
        <v>0</v>
      </c>
      <c r="Q69" s="41">
        <f t="shared" si="161"/>
        <v>0</v>
      </c>
      <c r="R69" s="41">
        <f t="shared" si="106"/>
        <v>770</v>
      </c>
      <c r="S69" s="41">
        <v>20</v>
      </c>
      <c r="T69" s="92"/>
      <c r="U69" s="92"/>
      <c r="V69" s="40">
        <f t="shared" ref="V69:V70" si="177">ROUND(H69*1.0583,2)</f>
        <v>737.26</v>
      </c>
      <c r="W69" s="40">
        <f t="shared" ref="W69:W70" si="178">ROUND(I69*1.0327,2)</f>
        <v>35.380000000000003</v>
      </c>
      <c r="X69" s="43">
        <f t="shared" si="170"/>
        <v>32.740000000000009</v>
      </c>
      <c r="Y69" s="43">
        <f t="shared" si="170"/>
        <v>-15.380000000000003</v>
      </c>
      <c r="Z69" s="43">
        <v>737.26</v>
      </c>
      <c r="AA69" s="43"/>
      <c r="AB69" s="43">
        <f t="shared" si="3"/>
        <v>737.26</v>
      </c>
      <c r="AC69" s="43">
        <f t="shared" si="4"/>
        <v>0</v>
      </c>
      <c r="AD69" s="43">
        <f t="shared" ref="AD69:AE70" si="179">IF(X69&gt;0,V69,R69)</f>
        <v>737.26</v>
      </c>
      <c r="AE69" s="43">
        <f t="shared" si="179"/>
        <v>20</v>
      </c>
      <c r="AF69" s="43">
        <f t="shared" si="5"/>
        <v>18.04</v>
      </c>
      <c r="AG69" s="43">
        <f t="shared" si="171"/>
        <v>184</v>
      </c>
      <c r="AH69" s="43">
        <f t="shared" si="171"/>
        <v>5</v>
      </c>
      <c r="AI69" s="93">
        <f t="shared" si="172"/>
        <v>61</v>
      </c>
      <c r="AJ69" s="43">
        <f t="shared" si="172"/>
        <v>2</v>
      </c>
      <c r="AK69" s="43"/>
      <c r="AL69" s="43"/>
      <c r="AM69" s="43">
        <f t="shared" si="8"/>
        <v>184.32</v>
      </c>
      <c r="AN69" s="43">
        <f t="shared" si="9"/>
        <v>4.87</v>
      </c>
      <c r="AO69" s="43"/>
      <c r="AP69" s="43"/>
      <c r="AQ69" s="43">
        <f t="shared" si="173"/>
        <v>368.32</v>
      </c>
      <c r="AR69" s="43">
        <f t="shared" si="173"/>
        <v>9.870000000000001</v>
      </c>
      <c r="AS69" s="43"/>
      <c r="AT69" s="43"/>
      <c r="AU69" s="43">
        <f t="shared" si="165"/>
        <v>184.32</v>
      </c>
      <c r="AV69" s="43">
        <f>ROUND(AE69*25%,2)-0.87</f>
        <v>4.13</v>
      </c>
      <c r="AW69" s="43"/>
      <c r="AX69" s="43"/>
      <c r="AY69" s="43">
        <f t="shared" si="166"/>
        <v>613.64</v>
      </c>
      <c r="AZ69" s="43">
        <f t="shared" si="166"/>
        <v>16</v>
      </c>
      <c r="BA69" s="43">
        <f t="shared" si="167"/>
        <v>629.64</v>
      </c>
      <c r="BB69" s="60">
        <v>583.66</v>
      </c>
      <c r="BC69" s="60">
        <v>4.28</v>
      </c>
      <c r="BD69" s="60">
        <f t="shared" si="168"/>
        <v>29.980000000000018</v>
      </c>
      <c r="BE69" s="60">
        <f t="shared" si="168"/>
        <v>11.719999999999999</v>
      </c>
      <c r="BF69" s="60">
        <f t="shared" si="169"/>
        <v>116.73</v>
      </c>
      <c r="BG69" s="60">
        <f t="shared" si="169"/>
        <v>0.86</v>
      </c>
      <c r="BH69" s="43">
        <v>48.68</v>
      </c>
      <c r="BI69" s="43">
        <v>0</v>
      </c>
      <c r="BJ69" s="43"/>
      <c r="BK69" s="43"/>
      <c r="BL69" s="43">
        <f t="shared" ref="BL69:BM132" si="180">+BH69+AY69+BJ69</f>
        <v>662.31999999999994</v>
      </c>
      <c r="BM69" s="43">
        <f t="shared" si="180"/>
        <v>16</v>
      </c>
      <c r="BN69" s="43">
        <f t="shared" si="15"/>
        <v>678.31999999999994</v>
      </c>
      <c r="BO69" s="43">
        <v>646.35</v>
      </c>
      <c r="BP69" s="93">
        <v>5.0999999999999996</v>
      </c>
      <c r="BQ69" s="43">
        <f t="shared" si="16"/>
        <v>15.969999999999914</v>
      </c>
      <c r="BR69" s="43">
        <f t="shared" si="16"/>
        <v>10.9</v>
      </c>
      <c r="BS69" s="43">
        <f t="shared" si="17"/>
        <v>58.76</v>
      </c>
      <c r="BT69" s="43">
        <f t="shared" si="17"/>
        <v>0.46</v>
      </c>
      <c r="BU69" s="43">
        <v>42.79</v>
      </c>
      <c r="BV69" s="43">
        <v>0</v>
      </c>
      <c r="BW69" s="43">
        <v>5.89</v>
      </c>
      <c r="BX69" s="43"/>
      <c r="BY69" s="43"/>
      <c r="BZ69" s="43"/>
      <c r="CA69" s="43">
        <v>710.99999999999989</v>
      </c>
      <c r="CB69" s="43">
        <v>16</v>
      </c>
      <c r="CC69" s="92">
        <v>782.1</v>
      </c>
      <c r="CD69" s="92">
        <v>18.399999999999999</v>
      </c>
      <c r="CE69" s="92">
        <v>65</v>
      </c>
      <c r="CF69" s="92">
        <v>2</v>
      </c>
      <c r="CG69" s="92">
        <f t="shared" si="19"/>
        <v>177.75</v>
      </c>
      <c r="CH69" s="92">
        <f t="shared" si="19"/>
        <v>4</v>
      </c>
      <c r="CI69" s="43"/>
      <c r="CJ69" s="43"/>
      <c r="CK69" s="72">
        <f>220-20</f>
        <v>200</v>
      </c>
      <c r="CL69" s="43">
        <v>6</v>
      </c>
      <c r="CM69" s="43"/>
      <c r="CN69" s="43"/>
      <c r="CO69" s="43">
        <v>805</v>
      </c>
      <c r="CP69" s="43">
        <v>20</v>
      </c>
      <c r="CQ69" s="43">
        <f t="shared" si="20"/>
        <v>800</v>
      </c>
      <c r="CR69" s="43">
        <f t="shared" si="20"/>
        <v>24</v>
      </c>
      <c r="CS69" s="43">
        <f t="shared" si="21"/>
        <v>800</v>
      </c>
      <c r="CT69" s="43">
        <f t="shared" si="21"/>
        <v>20</v>
      </c>
      <c r="CU69" s="43">
        <f>IF(CQ69&lt;CS69,CQ69,CS69)+40</f>
        <v>840</v>
      </c>
      <c r="CV69" s="43">
        <f>IF(CR69&lt;CT69,CR69,CT69)+10</f>
        <v>30</v>
      </c>
      <c r="CW69" s="43">
        <f>ROUND(CU69*25%,2)+41.76</f>
        <v>251.76</v>
      </c>
      <c r="CX69" s="43">
        <v>22</v>
      </c>
      <c r="CY69" s="43">
        <v>70</v>
      </c>
      <c r="CZ69" s="43"/>
      <c r="DA69" s="43">
        <f t="shared" si="23"/>
        <v>586.76</v>
      </c>
      <c r="DB69" s="43">
        <f t="shared" si="23"/>
        <v>30</v>
      </c>
      <c r="DC69" s="43">
        <v>522.38</v>
      </c>
      <c r="DD69" s="43">
        <v>27.55</v>
      </c>
      <c r="DE69" s="43">
        <f t="shared" si="24"/>
        <v>64.38</v>
      </c>
      <c r="DF69" s="43">
        <f t="shared" si="24"/>
        <v>2.4499999999999993</v>
      </c>
      <c r="DG69" s="43">
        <f>ROUND(0.25*(MIN(CU69,EW69)),2)</f>
        <v>210</v>
      </c>
      <c r="DH69" s="43">
        <f>ROUND(0.25*(MIN(CV69,EX69)),2)</f>
        <v>7.5</v>
      </c>
      <c r="DI69" s="43">
        <v>210</v>
      </c>
      <c r="DJ69" s="43">
        <f>+DH69-DF69-2-3.05</f>
        <v>0</v>
      </c>
      <c r="DK69" s="43"/>
      <c r="DL69" s="43"/>
      <c r="DM69" s="43">
        <f t="shared" si="25"/>
        <v>796.76</v>
      </c>
      <c r="DN69" s="43">
        <f t="shared" si="25"/>
        <v>30</v>
      </c>
      <c r="DO69" s="94">
        <v>742.2</v>
      </c>
      <c r="DP69" s="95">
        <v>28.67</v>
      </c>
      <c r="DQ69" s="60">
        <f t="shared" si="26"/>
        <v>54.56</v>
      </c>
      <c r="DR69" s="60">
        <f t="shared" si="26"/>
        <v>1.33</v>
      </c>
      <c r="DS69" s="60">
        <f t="shared" si="27"/>
        <v>74.22</v>
      </c>
      <c r="DT69" s="60">
        <f t="shared" si="27"/>
        <v>2.867</v>
      </c>
      <c r="DU69" s="60">
        <f t="shared" si="28"/>
        <v>19.659999999999997</v>
      </c>
      <c r="DV69" s="60">
        <f t="shared" si="28"/>
        <v>1.5369999999999999</v>
      </c>
      <c r="DW69" s="60"/>
      <c r="DX69" s="60"/>
      <c r="DY69" s="60">
        <v>20</v>
      </c>
      <c r="DZ69" s="60">
        <f t="shared" ref="DZ69:DZ131" si="181">ROUND(DV69+DX69,2)</f>
        <v>1.54</v>
      </c>
      <c r="EA69" s="60"/>
      <c r="EB69" s="60"/>
      <c r="EC69" s="43">
        <f t="shared" si="30"/>
        <v>816.76</v>
      </c>
      <c r="ED69" s="43">
        <f t="shared" si="30"/>
        <v>31.54</v>
      </c>
      <c r="EE69" s="43">
        <v>816.76</v>
      </c>
      <c r="EF69" s="43">
        <v>28.78</v>
      </c>
      <c r="EG69" s="43">
        <f t="shared" si="66"/>
        <v>100</v>
      </c>
      <c r="EH69" s="43">
        <f t="shared" si="66"/>
        <v>91.25</v>
      </c>
      <c r="EI69" s="43">
        <f t="shared" si="32"/>
        <v>0</v>
      </c>
      <c r="EJ69" s="43">
        <f t="shared" si="32"/>
        <v>2.76</v>
      </c>
      <c r="EK69" s="43">
        <f t="shared" si="33"/>
        <v>74.25</v>
      </c>
      <c r="EL69" s="43">
        <f t="shared" si="33"/>
        <v>2.62</v>
      </c>
      <c r="EM69" s="43">
        <f t="shared" si="34"/>
        <v>74.25</v>
      </c>
      <c r="EN69" s="43">
        <f t="shared" si="34"/>
        <v>-0.13999999999999968</v>
      </c>
      <c r="EO69" s="43">
        <v>93.24</v>
      </c>
      <c r="EP69" s="43">
        <v>0</v>
      </c>
      <c r="EQ69" s="5"/>
      <c r="ER69" s="5"/>
      <c r="ES69" s="5"/>
      <c r="ET69" s="5"/>
      <c r="EU69" s="5">
        <f t="shared" si="88"/>
        <v>-9.9999999999999858</v>
      </c>
      <c r="EV69" s="5">
        <f t="shared" si="88"/>
        <v>3.4600000000000009</v>
      </c>
      <c r="EW69" s="54">
        <v>900</v>
      </c>
      <c r="EX69" s="5">
        <v>35</v>
      </c>
      <c r="EY69" s="5">
        <v>920.51</v>
      </c>
      <c r="EZ69" s="5">
        <v>0</v>
      </c>
    </row>
    <row r="70" spans="1:160" ht="18.75" x14ac:dyDescent="0.25">
      <c r="A70" s="37">
        <v>52</v>
      </c>
      <c r="B70" s="37"/>
      <c r="C70" s="91" t="s">
        <v>203</v>
      </c>
      <c r="D70" s="38" t="s">
        <v>205</v>
      </c>
      <c r="E70" s="39"/>
      <c r="F70" s="40">
        <v>1480.2900000000002</v>
      </c>
      <c r="G70" s="40">
        <v>0</v>
      </c>
      <c r="H70" s="40">
        <v>1480.2900000000002</v>
      </c>
      <c r="I70" s="40">
        <v>0</v>
      </c>
      <c r="J70" s="41">
        <v>1992</v>
      </c>
      <c r="K70" s="41">
        <v>0</v>
      </c>
      <c r="L70" s="41">
        <v>0</v>
      </c>
      <c r="M70" s="41">
        <f t="shared" si="148"/>
        <v>1992</v>
      </c>
      <c r="N70" s="41">
        <v>0</v>
      </c>
      <c r="O70" s="41">
        <v>0</v>
      </c>
      <c r="P70" s="41">
        <v>0</v>
      </c>
      <c r="Q70" s="41">
        <f t="shared" si="161"/>
        <v>0</v>
      </c>
      <c r="R70" s="41">
        <f t="shared" si="106"/>
        <v>1992</v>
      </c>
      <c r="S70" s="41">
        <v>0</v>
      </c>
      <c r="T70" s="92"/>
      <c r="U70" s="92"/>
      <c r="V70" s="40">
        <f t="shared" si="177"/>
        <v>1566.59</v>
      </c>
      <c r="W70" s="40">
        <f t="shared" si="178"/>
        <v>0</v>
      </c>
      <c r="X70" s="43">
        <f t="shared" si="170"/>
        <v>425.41000000000008</v>
      </c>
      <c r="Y70" s="43">
        <f t="shared" si="170"/>
        <v>0</v>
      </c>
      <c r="Z70" s="43">
        <v>1566.59</v>
      </c>
      <c r="AA70" s="43"/>
      <c r="AB70" s="43">
        <f t="shared" ref="AB70:AB133" si="182">Z70+AA70</f>
        <v>1566.59</v>
      </c>
      <c r="AC70" s="43">
        <f t="shared" ref="AC70:AC133" si="183">AD70-AB70</f>
        <v>0</v>
      </c>
      <c r="AD70" s="43">
        <f t="shared" si="179"/>
        <v>1566.59</v>
      </c>
      <c r="AE70" s="43">
        <f t="shared" si="179"/>
        <v>0</v>
      </c>
      <c r="AF70" s="43">
        <f t="shared" ref="AF70:AF133" si="184">ROUND(S70*0.9022,2)</f>
        <v>0</v>
      </c>
      <c r="AG70" s="43">
        <f t="shared" si="171"/>
        <v>392</v>
      </c>
      <c r="AH70" s="43">
        <f t="shared" si="171"/>
        <v>0</v>
      </c>
      <c r="AI70" s="93">
        <f t="shared" si="172"/>
        <v>131</v>
      </c>
      <c r="AJ70" s="43">
        <f t="shared" si="172"/>
        <v>0</v>
      </c>
      <c r="AK70" s="43"/>
      <c r="AL70" s="43"/>
      <c r="AM70" s="43">
        <f t="shared" ref="AM70:AM133" si="185">ROUND(AD70*25%,2)</f>
        <v>391.65</v>
      </c>
      <c r="AN70" s="43">
        <f t="shared" ref="AN70:AN133" si="186">ROUND(AE70*24.35%,2)</f>
        <v>0</v>
      </c>
      <c r="AO70" s="43"/>
      <c r="AP70" s="43"/>
      <c r="AQ70" s="43">
        <f t="shared" si="173"/>
        <v>783.65</v>
      </c>
      <c r="AR70" s="43">
        <f t="shared" si="173"/>
        <v>0</v>
      </c>
      <c r="AS70" s="43"/>
      <c r="AT70" s="43"/>
      <c r="AU70" s="43">
        <f t="shared" si="165"/>
        <v>391.65</v>
      </c>
      <c r="AV70" s="43">
        <f t="shared" si="165"/>
        <v>0</v>
      </c>
      <c r="AW70" s="43"/>
      <c r="AX70" s="43"/>
      <c r="AY70" s="43">
        <f t="shared" si="166"/>
        <v>1306.3</v>
      </c>
      <c r="AZ70" s="43">
        <f t="shared" si="166"/>
        <v>0</v>
      </c>
      <c r="BA70" s="43">
        <f t="shared" si="167"/>
        <v>1306.3</v>
      </c>
      <c r="BB70" s="60">
        <v>1231.0899999999999</v>
      </c>
      <c r="BC70" s="60"/>
      <c r="BD70" s="60">
        <f t="shared" si="168"/>
        <v>75.210000000000036</v>
      </c>
      <c r="BE70" s="60">
        <f t="shared" si="168"/>
        <v>0</v>
      </c>
      <c r="BF70" s="60">
        <f t="shared" si="169"/>
        <v>246.22</v>
      </c>
      <c r="BG70" s="60">
        <f t="shared" si="169"/>
        <v>0</v>
      </c>
      <c r="BH70" s="43">
        <v>88.51</v>
      </c>
      <c r="BI70" s="43">
        <v>0</v>
      </c>
      <c r="BJ70" s="43"/>
      <c r="BK70" s="43"/>
      <c r="BL70" s="43">
        <f t="shared" si="180"/>
        <v>1394.81</v>
      </c>
      <c r="BM70" s="43">
        <f t="shared" si="180"/>
        <v>0</v>
      </c>
      <c r="BN70" s="43">
        <f t="shared" ref="BN70:BN133" si="187">BL70+BM70</f>
        <v>1394.81</v>
      </c>
      <c r="BO70" s="43">
        <v>1253.82</v>
      </c>
      <c r="BP70" s="93"/>
      <c r="BQ70" s="43">
        <f t="shared" ref="BQ70:BR133" si="188">BL70-BO70</f>
        <v>140.99</v>
      </c>
      <c r="BR70" s="43">
        <f t="shared" si="188"/>
        <v>0</v>
      </c>
      <c r="BS70" s="43">
        <f t="shared" ref="BS70:BT133" si="189">ROUND(BO70/11,2)</f>
        <v>113.98</v>
      </c>
      <c r="BT70" s="43">
        <f t="shared" si="189"/>
        <v>0</v>
      </c>
      <c r="BU70" s="43">
        <v>0</v>
      </c>
      <c r="BV70" s="43">
        <f t="shared" si="99"/>
        <v>0</v>
      </c>
      <c r="BW70" s="43">
        <v>771.78</v>
      </c>
      <c r="BX70" s="43"/>
      <c r="BY70" s="43"/>
      <c r="BZ70" s="43"/>
      <c r="CA70" s="43">
        <v>2166.59</v>
      </c>
      <c r="CB70" s="43">
        <v>0</v>
      </c>
      <c r="CC70" s="92">
        <v>2383.25</v>
      </c>
      <c r="CD70" s="92">
        <v>0</v>
      </c>
      <c r="CE70" s="92">
        <v>199</v>
      </c>
      <c r="CF70" s="92">
        <v>0</v>
      </c>
      <c r="CG70" s="92">
        <f t="shared" ref="CG70:CH133" si="190">ROUND(CA70/12*3,2)</f>
        <v>541.65</v>
      </c>
      <c r="CH70" s="92">
        <f t="shared" si="190"/>
        <v>0</v>
      </c>
      <c r="CI70" s="43"/>
      <c r="CJ70" s="43"/>
      <c r="CK70" s="43">
        <v>440</v>
      </c>
      <c r="CL70" s="43"/>
      <c r="CM70" s="43"/>
      <c r="CN70" s="43"/>
      <c r="CO70" s="43">
        <v>2607</v>
      </c>
      <c r="CP70" s="43"/>
      <c r="CQ70" s="43">
        <f t="shared" ref="CQ70:CR133" si="191">ROUND(CK70/3*12,2)</f>
        <v>1760</v>
      </c>
      <c r="CR70" s="43">
        <f t="shared" si="191"/>
        <v>0</v>
      </c>
      <c r="CS70" s="43">
        <f t="shared" ref="CS70:CV133" si="192">IF(CO70&lt;CQ70,CO70,CQ70)</f>
        <v>1760</v>
      </c>
      <c r="CT70" s="43">
        <f t="shared" si="192"/>
        <v>0</v>
      </c>
      <c r="CU70" s="43">
        <f t="shared" si="192"/>
        <v>1760</v>
      </c>
      <c r="CV70" s="43">
        <f t="shared" si="192"/>
        <v>0</v>
      </c>
      <c r="CW70" s="43">
        <f t="shared" ref="CW70:CX133" si="193">ROUND(CU70*25%,2)</f>
        <v>440</v>
      </c>
      <c r="CX70" s="43">
        <f>ROUND(CV70*25%,2)</f>
        <v>0</v>
      </c>
      <c r="CY70" s="43"/>
      <c r="CZ70" s="43"/>
      <c r="DA70" s="43">
        <f t="shared" ref="DA70:DB133" si="194">+CY70+CW70+CM70+CK70+CE70</f>
        <v>1079</v>
      </c>
      <c r="DB70" s="43">
        <f t="shared" si="194"/>
        <v>0</v>
      </c>
      <c r="DC70" s="43">
        <v>1079</v>
      </c>
      <c r="DD70" s="43"/>
      <c r="DE70" s="43">
        <f t="shared" ref="DE70:DF133" si="195">+DA70-DC70</f>
        <v>0</v>
      </c>
      <c r="DF70" s="43">
        <f t="shared" si="195"/>
        <v>0</v>
      </c>
      <c r="DG70" s="43">
        <f>ROUND(0.25*(MIN(CU70,EW70)),2)</f>
        <v>440</v>
      </c>
      <c r="DH70" s="43">
        <f>ROUND(0.25*(MIN(CV70,EX70)),2)</f>
        <v>0</v>
      </c>
      <c r="DI70" s="43">
        <f t="shared" ref="DI70:DI133" si="196">+DG70-DE70</f>
        <v>440</v>
      </c>
      <c r="DJ70" s="43">
        <f>+DH70-DF70</f>
        <v>0</v>
      </c>
      <c r="DK70" s="43"/>
      <c r="DL70" s="43"/>
      <c r="DM70" s="43">
        <f t="shared" ref="DM70:DN133" si="197">+DI70+DA70+DK70</f>
        <v>1519</v>
      </c>
      <c r="DN70" s="43">
        <f t="shared" si="197"/>
        <v>0</v>
      </c>
      <c r="DO70" s="94">
        <v>1519</v>
      </c>
      <c r="DP70" s="95">
        <v>0</v>
      </c>
      <c r="DQ70" s="60">
        <f t="shared" ref="DQ70:DR133" si="198">ROUND(DM70-DO70,2)</f>
        <v>0</v>
      </c>
      <c r="DR70" s="60">
        <f t="shared" si="198"/>
        <v>0</v>
      </c>
      <c r="DS70" s="60">
        <f t="shared" ref="DS70:DT133" si="199">DO70/10</f>
        <v>151.9</v>
      </c>
      <c r="DT70" s="60">
        <f t="shared" si="199"/>
        <v>0</v>
      </c>
      <c r="DU70" s="60">
        <f t="shared" ref="DU70:DV133" si="200">DS70-DQ70</f>
        <v>151.9</v>
      </c>
      <c r="DV70" s="60">
        <f t="shared" si="200"/>
        <v>0</v>
      </c>
      <c r="DW70" s="60"/>
      <c r="DX70" s="60"/>
      <c r="DY70" s="60">
        <v>220</v>
      </c>
      <c r="DZ70" s="60">
        <f t="shared" si="181"/>
        <v>0</v>
      </c>
      <c r="EA70" s="60"/>
      <c r="EB70" s="60"/>
      <c r="EC70" s="43">
        <f t="shared" ref="EC70:ED133" si="201">+DY70+DM70+EA70</f>
        <v>1739</v>
      </c>
      <c r="ED70" s="43">
        <f t="shared" si="201"/>
        <v>0</v>
      </c>
      <c r="EE70" s="43">
        <v>1519</v>
      </c>
      <c r="EF70" s="43">
        <v>0</v>
      </c>
      <c r="EG70" s="43">
        <f t="shared" si="66"/>
        <v>87.35</v>
      </c>
      <c r="EH70" s="43" t="e">
        <f t="shared" si="66"/>
        <v>#DIV/0!</v>
      </c>
      <c r="EI70" s="43">
        <f t="shared" ref="EI70:EJ133" si="202">ROUND(EC70-EE70,2)</f>
        <v>220</v>
      </c>
      <c r="EJ70" s="43">
        <f t="shared" si="202"/>
        <v>0</v>
      </c>
      <c r="EK70" s="43">
        <f t="shared" ref="EK70:EL133" si="203">ROUND(EE70/11,2)</f>
        <v>138.09</v>
      </c>
      <c r="EL70" s="43">
        <f t="shared" si="203"/>
        <v>0</v>
      </c>
      <c r="EM70" s="43">
        <f t="shared" ref="EM70:EN133" si="204">+EK70-EI70</f>
        <v>-81.91</v>
      </c>
      <c r="EN70" s="43">
        <f t="shared" si="204"/>
        <v>0</v>
      </c>
      <c r="EO70" s="43">
        <v>221</v>
      </c>
      <c r="EP70" s="43">
        <v>0</v>
      </c>
      <c r="EQ70" s="5"/>
      <c r="ER70" s="5"/>
      <c r="ES70" s="5"/>
      <c r="ET70" s="5"/>
      <c r="EU70" s="5">
        <f t="shared" si="88"/>
        <v>0</v>
      </c>
      <c r="EV70" s="5">
        <f t="shared" si="88"/>
        <v>0</v>
      </c>
      <c r="EW70" s="54">
        <v>1960</v>
      </c>
      <c r="EX70" s="5">
        <v>0</v>
      </c>
      <c r="EY70" s="5">
        <v>2315.66</v>
      </c>
      <c r="EZ70" s="5">
        <v>0</v>
      </c>
    </row>
    <row r="71" spans="1:160" ht="18.75" x14ac:dyDescent="0.25">
      <c r="A71" s="68"/>
      <c r="B71" s="68" t="s">
        <v>206</v>
      </c>
      <c r="C71" s="91" t="s">
        <v>203</v>
      </c>
      <c r="D71" s="67" t="s">
        <v>204</v>
      </c>
      <c r="E71" s="69" t="s">
        <v>207</v>
      </c>
      <c r="F71" s="70">
        <v>2173.59</v>
      </c>
      <c r="G71" s="70">
        <v>39.65</v>
      </c>
      <c r="H71" s="70">
        <v>2176.94</v>
      </c>
      <c r="I71" s="70">
        <v>34.26</v>
      </c>
      <c r="J71" s="71">
        <f t="shared" ref="J71:AA71" si="205">+J69+J70</f>
        <v>2762</v>
      </c>
      <c r="K71" s="71">
        <f t="shared" si="205"/>
        <v>0</v>
      </c>
      <c r="L71" s="71">
        <f t="shared" si="205"/>
        <v>0</v>
      </c>
      <c r="M71" s="71">
        <f t="shared" si="205"/>
        <v>2762</v>
      </c>
      <c r="N71" s="71">
        <f t="shared" si="205"/>
        <v>0</v>
      </c>
      <c r="O71" s="71">
        <f t="shared" si="205"/>
        <v>0</v>
      </c>
      <c r="P71" s="71">
        <f t="shared" si="205"/>
        <v>0</v>
      </c>
      <c r="Q71" s="71">
        <f t="shared" si="205"/>
        <v>0</v>
      </c>
      <c r="R71" s="71">
        <f t="shared" si="205"/>
        <v>2762</v>
      </c>
      <c r="S71" s="71">
        <f t="shared" si="205"/>
        <v>20</v>
      </c>
      <c r="T71" s="71">
        <f t="shared" si="205"/>
        <v>0</v>
      </c>
      <c r="U71" s="71">
        <f t="shared" si="205"/>
        <v>0</v>
      </c>
      <c r="V71" s="71">
        <f t="shared" si="205"/>
        <v>2303.85</v>
      </c>
      <c r="W71" s="71">
        <f t="shared" si="205"/>
        <v>35.380000000000003</v>
      </c>
      <c r="X71" s="71">
        <f t="shared" si="205"/>
        <v>458.15000000000009</v>
      </c>
      <c r="Y71" s="71">
        <f t="shared" si="205"/>
        <v>-15.380000000000003</v>
      </c>
      <c r="Z71" s="71">
        <f t="shared" si="205"/>
        <v>2303.85</v>
      </c>
      <c r="AA71" s="71">
        <f t="shared" si="205"/>
        <v>0</v>
      </c>
      <c r="AB71" s="70">
        <f t="shared" si="182"/>
        <v>2303.85</v>
      </c>
      <c r="AC71" s="43">
        <f t="shared" si="183"/>
        <v>0</v>
      </c>
      <c r="AD71" s="70">
        <f t="shared" ref="AD71:CP71" si="206">+AD69+AD70</f>
        <v>2303.85</v>
      </c>
      <c r="AE71" s="70">
        <f t="shared" si="206"/>
        <v>20</v>
      </c>
      <c r="AF71" s="70">
        <f t="shared" si="206"/>
        <v>18.04</v>
      </c>
      <c r="AG71" s="70">
        <f t="shared" si="206"/>
        <v>576</v>
      </c>
      <c r="AH71" s="70">
        <f t="shared" si="206"/>
        <v>5</v>
      </c>
      <c r="AI71" s="96">
        <f t="shared" si="206"/>
        <v>192</v>
      </c>
      <c r="AJ71" s="70">
        <f t="shared" si="206"/>
        <v>2</v>
      </c>
      <c r="AK71" s="70">
        <f t="shared" si="206"/>
        <v>0</v>
      </c>
      <c r="AL71" s="70">
        <f t="shared" si="206"/>
        <v>0</v>
      </c>
      <c r="AM71" s="70">
        <f t="shared" si="206"/>
        <v>575.97</v>
      </c>
      <c r="AN71" s="70">
        <f t="shared" si="206"/>
        <v>4.87</v>
      </c>
      <c r="AO71" s="70">
        <f t="shared" si="206"/>
        <v>0</v>
      </c>
      <c r="AP71" s="70">
        <f t="shared" si="206"/>
        <v>0</v>
      </c>
      <c r="AQ71" s="70">
        <f t="shared" si="206"/>
        <v>1151.97</v>
      </c>
      <c r="AR71" s="70">
        <f t="shared" si="206"/>
        <v>9.870000000000001</v>
      </c>
      <c r="AS71" s="70">
        <f t="shared" si="206"/>
        <v>0</v>
      </c>
      <c r="AT71" s="70">
        <f t="shared" si="206"/>
        <v>0</v>
      </c>
      <c r="AU71" s="70">
        <f t="shared" si="206"/>
        <v>575.97</v>
      </c>
      <c r="AV71" s="70">
        <f t="shared" si="206"/>
        <v>4.13</v>
      </c>
      <c r="AW71" s="70">
        <f t="shared" si="206"/>
        <v>0</v>
      </c>
      <c r="AX71" s="70">
        <f t="shared" si="206"/>
        <v>0</v>
      </c>
      <c r="AY71" s="70">
        <f t="shared" si="206"/>
        <v>1919.94</v>
      </c>
      <c r="AZ71" s="70">
        <f t="shared" si="206"/>
        <v>16</v>
      </c>
      <c r="BA71" s="70">
        <f t="shared" si="206"/>
        <v>1935.94</v>
      </c>
      <c r="BB71" s="70">
        <f t="shared" si="206"/>
        <v>1814.75</v>
      </c>
      <c r="BC71" s="70">
        <f t="shared" si="206"/>
        <v>4.28</v>
      </c>
      <c r="BD71" s="70">
        <f t="shared" si="206"/>
        <v>105.19000000000005</v>
      </c>
      <c r="BE71" s="70">
        <f t="shared" si="206"/>
        <v>11.719999999999999</v>
      </c>
      <c r="BF71" s="70">
        <f t="shared" si="206"/>
        <v>362.95</v>
      </c>
      <c r="BG71" s="96">
        <f t="shared" si="206"/>
        <v>0.86</v>
      </c>
      <c r="BH71" s="96">
        <f t="shared" si="206"/>
        <v>137.19</v>
      </c>
      <c r="BI71" s="96">
        <f t="shared" si="206"/>
        <v>0</v>
      </c>
      <c r="BJ71" s="96">
        <f t="shared" si="206"/>
        <v>0</v>
      </c>
      <c r="BK71" s="96">
        <f t="shared" si="206"/>
        <v>0</v>
      </c>
      <c r="BL71" s="96">
        <f t="shared" si="206"/>
        <v>2057.13</v>
      </c>
      <c r="BM71" s="96">
        <f t="shared" si="206"/>
        <v>16</v>
      </c>
      <c r="BN71" s="96">
        <f t="shared" si="206"/>
        <v>2073.13</v>
      </c>
      <c r="BO71" s="96">
        <f t="shared" si="206"/>
        <v>1900.17</v>
      </c>
      <c r="BP71" s="96">
        <f t="shared" si="206"/>
        <v>5.0999999999999996</v>
      </c>
      <c r="BQ71" s="70">
        <f t="shared" si="206"/>
        <v>156.95999999999992</v>
      </c>
      <c r="BR71" s="70">
        <f t="shared" si="206"/>
        <v>10.9</v>
      </c>
      <c r="BS71" s="70">
        <f t="shared" si="206"/>
        <v>172.74</v>
      </c>
      <c r="BT71" s="70">
        <f t="shared" si="206"/>
        <v>0.46</v>
      </c>
      <c r="BU71" s="70">
        <f t="shared" si="206"/>
        <v>42.79</v>
      </c>
      <c r="BV71" s="70">
        <f t="shared" si="206"/>
        <v>0</v>
      </c>
      <c r="BW71" s="70">
        <f t="shared" si="206"/>
        <v>777.67</v>
      </c>
      <c r="BX71" s="70">
        <f t="shared" si="206"/>
        <v>0</v>
      </c>
      <c r="BY71" s="70">
        <f t="shared" si="206"/>
        <v>0</v>
      </c>
      <c r="BZ71" s="70">
        <f t="shared" si="206"/>
        <v>0</v>
      </c>
      <c r="CA71" s="70">
        <f t="shared" si="206"/>
        <v>2877.59</v>
      </c>
      <c r="CB71" s="70">
        <f t="shared" si="206"/>
        <v>16</v>
      </c>
      <c r="CC71" s="70">
        <f t="shared" si="206"/>
        <v>3165.35</v>
      </c>
      <c r="CD71" s="70">
        <f t="shared" si="206"/>
        <v>18.399999999999999</v>
      </c>
      <c r="CE71" s="70">
        <f t="shared" si="206"/>
        <v>264</v>
      </c>
      <c r="CF71" s="70">
        <f t="shared" si="206"/>
        <v>2</v>
      </c>
      <c r="CG71" s="70">
        <f t="shared" si="206"/>
        <v>719.4</v>
      </c>
      <c r="CH71" s="96">
        <f t="shared" si="206"/>
        <v>4</v>
      </c>
      <c r="CI71" s="70">
        <f t="shared" si="206"/>
        <v>0</v>
      </c>
      <c r="CJ71" s="70">
        <f t="shared" si="206"/>
        <v>0</v>
      </c>
      <c r="CK71" s="70">
        <f t="shared" si="206"/>
        <v>640</v>
      </c>
      <c r="CL71" s="70">
        <f t="shared" si="206"/>
        <v>6</v>
      </c>
      <c r="CM71" s="70">
        <f t="shared" si="206"/>
        <v>0</v>
      </c>
      <c r="CN71" s="70">
        <f t="shared" si="206"/>
        <v>0</v>
      </c>
      <c r="CO71" s="70">
        <f t="shared" si="206"/>
        <v>3412</v>
      </c>
      <c r="CP71" s="70">
        <f t="shared" si="206"/>
        <v>20</v>
      </c>
      <c r="CQ71" s="70">
        <f t="shared" ref="CQ71:FB71" si="207">+CQ69+CQ70</f>
        <v>2560</v>
      </c>
      <c r="CR71" s="70">
        <f t="shared" si="207"/>
        <v>24</v>
      </c>
      <c r="CS71" s="70">
        <f t="shared" si="207"/>
        <v>2560</v>
      </c>
      <c r="CT71" s="70">
        <f t="shared" si="207"/>
        <v>20</v>
      </c>
      <c r="CU71" s="70">
        <f t="shared" si="207"/>
        <v>2600</v>
      </c>
      <c r="CV71" s="70">
        <f t="shared" si="207"/>
        <v>30</v>
      </c>
      <c r="CW71" s="70">
        <f t="shared" si="207"/>
        <v>691.76</v>
      </c>
      <c r="CX71" s="70">
        <f t="shared" si="207"/>
        <v>22</v>
      </c>
      <c r="CY71" s="70">
        <f t="shared" si="207"/>
        <v>70</v>
      </c>
      <c r="CZ71" s="70">
        <f t="shared" si="207"/>
        <v>0</v>
      </c>
      <c r="DA71" s="70">
        <f t="shared" si="207"/>
        <v>1665.76</v>
      </c>
      <c r="DB71" s="70">
        <f t="shared" si="207"/>
        <v>30</v>
      </c>
      <c r="DC71" s="70">
        <f t="shared" si="207"/>
        <v>1601.38</v>
      </c>
      <c r="DD71" s="70">
        <f t="shared" si="207"/>
        <v>27.55</v>
      </c>
      <c r="DE71" s="70">
        <f t="shared" si="207"/>
        <v>64.38</v>
      </c>
      <c r="DF71" s="70">
        <f t="shared" si="207"/>
        <v>2.4499999999999993</v>
      </c>
      <c r="DG71" s="70">
        <f t="shared" si="207"/>
        <v>650</v>
      </c>
      <c r="DH71" s="70">
        <f t="shared" si="207"/>
        <v>7.5</v>
      </c>
      <c r="DI71" s="70">
        <f t="shared" si="207"/>
        <v>650</v>
      </c>
      <c r="DJ71" s="70">
        <f t="shared" si="207"/>
        <v>0</v>
      </c>
      <c r="DK71" s="70">
        <f t="shared" si="207"/>
        <v>0</v>
      </c>
      <c r="DL71" s="70">
        <f t="shared" si="207"/>
        <v>0</v>
      </c>
      <c r="DM71" s="70">
        <f t="shared" si="207"/>
        <v>2315.7600000000002</v>
      </c>
      <c r="DN71" s="70">
        <f t="shared" si="207"/>
        <v>30</v>
      </c>
      <c r="DO71" s="70">
        <f t="shared" si="207"/>
        <v>2261.1999999999998</v>
      </c>
      <c r="DP71" s="70">
        <f t="shared" si="207"/>
        <v>28.67</v>
      </c>
      <c r="DQ71" s="70">
        <f t="shared" si="207"/>
        <v>54.56</v>
      </c>
      <c r="DR71" s="70">
        <f t="shared" si="207"/>
        <v>1.33</v>
      </c>
      <c r="DS71" s="70">
        <f t="shared" si="207"/>
        <v>226.12</v>
      </c>
      <c r="DT71" s="70">
        <f t="shared" si="207"/>
        <v>2.867</v>
      </c>
      <c r="DU71" s="70">
        <f t="shared" si="207"/>
        <v>171.56</v>
      </c>
      <c r="DV71" s="70">
        <f t="shared" si="207"/>
        <v>1.5369999999999999</v>
      </c>
      <c r="DW71" s="70">
        <f t="shared" si="207"/>
        <v>0</v>
      </c>
      <c r="DX71" s="70">
        <f t="shared" si="207"/>
        <v>0</v>
      </c>
      <c r="DY71" s="70">
        <f t="shared" si="207"/>
        <v>240</v>
      </c>
      <c r="DZ71" s="70">
        <f t="shared" si="207"/>
        <v>1.54</v>
      </c>
      <c r="EA71" s="70">
        <f t="shared" si="207"/>
        <v>0</v>
      </c>
      <c r="EB71" s="96">
        <f t="shared" si="207"/>
        <v>0</v>
      </c>
      <c r="EC71" s="70">
        <f t="shared" si="207"/>
        <v>2555.7600000000002</v>
      </c>
      <c r="ED71" s="70">
        <f t="shared" si="207"/>
        <v>31.54</v>
      </c>
      <c r="EE71" s="70">
        <f t="shared" si="207"/>
        <v>2335.7600000000002</v>
      </c>
      <c r="EF71" s="70">
        <f t="shared" si="207"/>
        <v>28.78</v>
      </c>
      <c r="EG71" s="70">
        <f t="shared" si="207"/>
        <v>187.35</v>
      </c>
      <c r="EH71" s="70" t="e">
        <f t="shared" si="207"/>
        <v>#DIV/0!</v>
      </c>
      <c r="EI71" s="70">
        <f t="shared" si="207"/>
        <v>220</v>
      </c>
      <c r="EJ71" s="70">
        <f t="shared" si="207"/>
        <v>2.76</v>
      </c>
      <c r="EK71" s="70">
        <f t="shared" si="207"/>
        <v>212.34</v>
      </c>
      <c r="EL71" s="70">
        <f t="shared" si="207"/>
        <v>2.62</v>
      </c>
      <c r="EM71" s="70">
        <f t="shared" si="207"/>
        <v>-7.6599999999999966</v>
      </c>
      <c r="EN71" s="70">
        <f t="shared" si="207"/>
        <v>-0.13999999999999968</v>
      </c>
      <c r="EO71" s="70">
        <f t="shared" si="207"/>
        <v>314.24</v>
      </c>
      <c r="EP71" s="70">
        <f t="shared" si="207"/>
        <v>0</v>
      </c>
      <c r="EQ71" s="66">
        <f t="shared" si="207"/>
        <v>0</v>
      </c>
      <c r="ER71" s="46">
        <f t="shared" si="207"/>
        <v>0</v>
      </c>
      <c r="ES71" s="46">
        <f t="shared" si="207"/>
        <v>0</v>
      </c>
      <c r="ET71" s="46">
        <f t="shared" si="207"/>
        <v>0</v>
      </c>
      <c r="EU71" s="5">
        <f t="shared" si="88"/>
        <v>-10.000000000000227</v>
      </c>
      <c r="EV71" s="5">
        <f t="shared" si="88"/>
        <v>3.4600000000000009</v>
      </c>
      <c r="EW71" s="46">
        <f t="shared" si="207"/>
        <v>2860</v>
      </c>
      <c r="EX71" s="46">
        <f t="shared" si="207"/>
        <v>35</v>
      </c>
      <c r="EY71" s="46">
        <f t="shared" si="207"/>
        <v>3236.17</v>
      </c>
      <c r="EZ71" s="46">
        <f t="shared" si="207"/>
        <v>0</v>
      </c>
      <c r="FA71" s="46">
        <f t="shared" si="207"/>
        <v>0</v>
      </c>
      <c r="FB71" s="46">
        <f t="shared" si="207"/>
        <v>0</v>
      </c>
    </row>
    <row r="72" spans="1:160" ht="18.75" x14ac:dyDescent="0.25">
      <c r="A72" s="37">
        <v>53</v>
      </c>
      <c r="B72" s="37"/>
      <c r="C72" s="91" t="s">
        <v>188</v>
      </c>
      <c r="D72" s="38" t="s">
        <v>208</v>
      </c>
      <c r="E72" s="39"/>
      <c r="F72" s="40">
        <v>2132.9800000000005</v>
      </c>
      <c r="G72" s="40">
        <v>194.81</v>
      </c>
      <c r="H72" s="40">
        <v>2132.9800000000005</v>
      </c>
      <c r="I72" s="40">
        <v>205</v>
      </c>
      <c r="J72" s="41">
        <v>1800</v>
      </c>
      <c r="K72" s="41">
        <v>510</v>
      </c>
      <c r="L72" s="41">
        <v>0</v>
      </c>
      <c r="M72" s="41">
        <f t="shared" si="148"/>
        <v>2310</v>
      </c>
      <c r="N72" s="41">
        <v>0</v>
      </c>
      <c r="O72" s="41">
        <v>0</v>
      </c>
      <c r="P72" s="41">
        <v>0</v>
      </c>
      <c r="Q72" s="41">
        <f t="shared" ref="Q72:Q74" si="208">N72+O72+P72</f>
        <v>0</v>
      </c>
      <c r="R72" s="41">
        <f t="shared" si="106"/>
        <v>2310</v>
      </c>
      <c r="S72" s="41">
        <v>200</v>
      </c>
      <c r="T72" s="92"/>
      <c r="U72" s="92"/>
      <c r="V72" s="40">
        <f t="shared" ref="V72:V74" si="209">ROUND(H72*1.0583,2)</f>
        <v>2257.33</v>
      </c>
      <c r="W72" s="40">
        <f t="shared" ref="W72:W74" si="210">ROUND(I72*1.0327,2)</f>
        <v>211.7</v>
      </c>
      <c r="X72" s="43">
        <f t="shared" si="170"/>
        <v>52.670000000000073</v>
      </c>
      <c r="Y72" s="43">
        <f t="shared" si="170"/>
        <v>-11.699999999999989</v>
      </c>
      <c r="Z72" s="43">
        <v>2257.33</v>
      </c>
      <c r="AA72" s="43"/>
      <c r="AB72" s="43">
        <f t="shared" si="182"/>
        <v>2257.33</v>
      </c>
      <c r="AC72" s="43">
        <f t="shared" si="183"/>
        <v>0</v>
      </c>
      <c r="AD72" s="43">
        <f t="shared" ref="AD72:AE72" si="211">IF(X72&gt;0,V72,R72)</f>
        <v>2257.33</v>
      </c>
      <c r="AE72" s="43">
        <f t="shared" si="211"/>
        <v>200</v>
      </c>
      <c r="AF72" s="43">
        <f t="shared" si="184"/>
        <v>180.44</v>
      </c>
      <c r="AG72" s="43">
        <f t="shared" si="171"/>
        <v>564</v>
      </c>
      <c r="AH72" s="43">
        <f t="shared" si="171"/>
        <v>50</v>
      </c>
      <c r="AI72" s="93">
        <f t="shared" si="172"/>
        <v>188</v>
      </c>
      <c r="AJ72" s="43">
        <f t="shared" si="172"/>
        <v>17</v>
      </c>
      <c r="AK72" s="43"/>
      <c r="AL72" s="43"/>
      <c r="AM72" s="43">
        <f t="shared" si="185"/>
        <v>564.33000000000004</v>
      </c>
      <c r="AN72" s="43">
        <f t="shared" si="186"/>
        <v>48.7</v>
      </c>
      <c r="AO72" s="43"/>
      <c r="AP72" s="43"/>
      <c r="AQ72" s="43">
        <f t="shared" si="173"/>
        <v>1128.33</v>
      </c>
      <c r="AR72" s="43">
        <f t="shared" si="173"/>
        <v>98.7</v>
      </c>
      <c r="AS72" s="43"/>
      <c r="AT72" s="43"/>
      <c r="AU72" s="43">
        <f t="shared" si="165"/>
        <v>564.33000000000004</v>
      </c>
      <c r="AV72" s="43">
        <f>ROUND(AE72*25%,2)+34.3</f>
        <v>84.3</v>
      </c>
      <c r="AW72" s="43"/>
      <c r="AX72" s="43"/>
      <c r="AY72" s="43">
        <f t="shared" si="166"/>
        <v>1880.6599999999999</v>
      </c>
      <c r="AZ72" s="43">
        <f t="shared" si="166"/>
        <v>200</v>
      </c>
      <c r="BA72" s="43">
        <f t="shared" si="167"/>
        <v>2080.66</v>
      </c>
      <c r="BB72" s="60">
        <v>1762.09</v>
      </c>
      <c r="BC72" s="60">
        <v>195.34</v>
      </c>
      <c r="BD72" s="60">
        <f t="shared" si="168"/>
        <v>118.56999999999994</v>
      </c>
      <c r="BE72" s="60">
        <f t="shared" si="168"/>
        <v>4.6599999999999966</v>
      </c>
      <c r="BF72" s="60">
        <f t="shared" si="169"/>
        <v>352.42</v>
      </c>
      <c r="BG72" s="60">
        <f t="shared" si="169"/>
        <v>39.07</v>
      </c>
      <c r="BH72" s="43">
        <v>116.93</v>
      </c>
      <c r="BI72" s="43">
        <v>15</v>
      </c>
      <c r="BJ72" s="43"/>
      <c r="BK72" s="43"/>
      <c r="BL72" s="43">
        <f t="shared" si="180"/>
        <v>1997.59</v>
      </c>
      <c r="BM72" s="43">
        <f t="shared" si="180"/>
        <v>215</v>
      </c>
      <c r="BN72" s="43">
        <f t="shared" si="187"/>
        <v>2212.59</v>
      </c>
      <c r="BO72" s="43">
        <v>1946.83</v>
      </c>
      <c r="BP72" s="93">
        <v>197.76</v>
      </c>
      <c r="BQ72" s="43">
        <f t="shared" si="188"/>
        <v>50.759999999999991</v>
      </c>
      <c r="BR72" s="43">
        <f t="shared" si="188"/>
        <v>17.240000000000009</v>
      </c>
      <c r="BS72" s="43">
        <f t="shared" si="189"/>
        <v>176.98</v>
      </c>
      <c r="BT72" s="43">
        <f t="shared" si="189"/>
        <v>17.98</v>
      </c>
      <c r="BU72" s="43">
        <f t="shared" ref="BU72:BU111" si="212">BS72-BQ72</f>
        <v>126.22</v>
      </c>
      <c r="BV72" s="43">
        <v>0</v>
      </c>
      <c r="BW72" s="43">
        <v>24.23</v>
      </c>
      <c r="BX72" s="43">
        <v>11.97</v>
      </c>
      <c r="BY72" s="43"/>
      <c r="BZ72" s="43"/>
      <c r="CA72" s="43">
        <v>2148.04</v>
      </c>
      <c r="CB72" s="43">
        <v>226.97</v>
      </c>
      <c r="CC72" s="92">
        <v>2362.84</v>
      </c>
      <c r="CD72" s="92">
        <v>261.02</v>
      </c>
      <c r="CE72" s="92">
        <v>197</v>
      </c>
      <c r="CF72" s="92">
        <v>22</v>
      </c>
      <c r="CG72" s="92">
        <f t="shared" si="190"/>
        <v>537.01</v>
      </c>
      <c r="CH72" s="92">
        <f t="shared" si="190"/>
        <v>56.74</v>
      </c>
      <c r="CI72" s="43"/>
      <c r="CJ72" s="43"/>
      <c r="CK72" s="43">
        <v>600</v>
      </c>
      <c r="CL72" s="72">
        <f>220-100</f>
        <v>120</v>
      </c>
      <c r="CM72" s="72"/>
      <c r="CN72" s="72"/>
      <c r="CO72" s="43">
        <v>2500</v>
      </c>
      <c r="CP72" s="43">
        <v>300</v>
      </c>
      <c r="CQ72" s="43">
        <f t="shared" si="191"/>
        <v>2400</v>
      </c>
      <c r="CR72" s="43">
        <f t="shared" si="191"/>
        <v>480</v>
      </c>
      <c r="CS72" s="43">
        <f t="shared" si="192"/>
        <v>2400</v>
      </c>
      <c r="CT72" s="43">
        <f t="shared" si="192"/>
        <v>300</v>
      </c>
      <c r="CU72" s="43">
        <v>2400</v>
      </c>
      <c r="CV72" s="43">
        <v>300</v>
      </c>
      <c r="CW72" s="43">
        <f t="shared" si="193"/>
        <v>600</v>
      </c>
      <c r="CX72" s="43">
        <f>ROUND(CV72*25%,2)-60</f>
        <v>15</v>
      </c>
      <c r="CY72" s="43"/>
      <c r="CZ72" s="43"/>
      <c r="DA72" s="43">
        <f t="shared" si="194"/>
        <v>1397</v>
      </c>
      <c r="DB72" s="43">
        <f t="shared" si="194"/>
        <v>157</v>
      </c>
      <c r="DC72" s="43">
        <v>1374</v>
      </c>
      <c r="DD72" s="43">
        <v>293.99</v>
      </c>
      <c r="DE72" s="43">
        <f t="shared" si="195"/>
        <v>23</v>
      </c>
      <c r="DF72" s="43">
        <f t="shared" si="195"/>
        <v>-136.99</v>
      </c>
      <c r="DG72" s="43">
        <f t="shared" ref="DG72:DH74" si="213">ROUND(0.25*(MIN(CU72,EW72)),2)</f>
        <v>595</v>
      </c>
      <c r="DH72" s="43">
        <f t="shared" si="213"/>
        <v>60</v>
      </c>
      <c r="DI72" s="43">
        <f t="shared" si="196"/>
        <v>572</v>
      </c>
      <c r="DJ72" s="43">
        <f>+DH72-DF72-115</f>
        <v>81.990000000000009</v>
      </c>
      <c r="DK72" s="43"/>
      <c r="DL72" s="43"/>
      <c r="DM72" s="43">
        <f t="shared" si="197"/>
        <v>1969</v>
      </c>
      <c r="DN72" s="43">
        <f t="shared" si="197"/>
        <v>238.99</v>
      </c>
      <c r="DO72" s="94">
        <v>1989.68</v>
      </c>
      <c r="DP72" s="95">
        <v>196.28</v>
      </c>
      <c r="DQ72" s="60">
        <f t="shared" si="198"/>
        <v>-20.68</v>
      </c>
      <c r="DR72" s="60">
        <f t="shared" si="198"/>
        <v>42.71</v>
      </c>
      <c r="DS72" s="60">
        <f t="shared" si="199"/>
        <v>198.96800000000002</v>
      </c>
      <c r="DT72" s="60">
        <f t="shared" si="199"/>
        <v>19.628</v>
      </c>
      <c r="DU72" s="60">
        <f t="shared" si="200"/>
        <v>219.64800000000002</v>
      </c>
      <c r="DV72" s="60">
        <f t="shared" si="200"/>
        <v>-23.082000000000001</v>
      </c>
      <c r="DW72" s="60"/>
      <c r="DX72" s="60"/>
      <c r="DY72" s="60">
        <f t="shared" ref="DY72:DZ133" si="214">ROUND(DU72+DW72,2)</f>
        <v>219.65</v>
      </c>
      <c r="DZ72" s="60">
        <v>0</v>
      </c>
      <c r="EA72" s="60"/>
      <c r="EB72" s="60"/>
      <c r="EC72" s="43">
        <f t="shared" si="201"/>
        <v>2188.65</v>
      </c>
      <c r="ED72" s="43">
        <f t="shared" si="201"/>
        <v>238.99</v>
      </c>
      <c r="EE72" s="43">
        <v>2184.0700000000002</v>
      </c>
      <c r="EF72" s="43">
        <v>203.05</v>
      </c>
      <c r="EG72" s="43">
        <f t="shared" si="66"/>
        <v>99.79</v>
      </c>
      <c r="EH72" s="43">
        <f t="shared" si="66"/>
        <v>84.96</v>
      </c>
      <c r="EI72" s="43">
        <f t="shared" si="202"/>
        <v>4.58</v>
      </c>
      <c r="EJ72" s="43">
        <f t="shared" si="202"/>
        <v>35.94</v>
      </c>
      <c r="EK72" s="43">
        <f t="shared" si="203"/>
        <v>198.55</v>
      </c>
      <c r="EL72" s="43">
        <f t="shared" si="203"/>
        <v>18.46</v>
      </c>
      <c r="EM72" s="43">
        <f t="shared" si="204"/>
        <v>193.97</v>
      </c>
      <c r="EN72" s="43">
        <f t="shared" si="204"/>
        <v>-17.479999999999997</v>
      </c>
      <c r="EO72" s="43">
        <v>218</v>
      </c>
      <c r="EP72" s="43">
        <v>1</v>
      </c>
      <c r="EQ72" s="5"/>
      <c r="ER72" s="5"/>
      <c r="ES72" s="5"/>
      <c r="ET72" s="5"/>
      <c r="EU72" s="5">
        <f t="shared" si="88"/>
        <v>-26.650000000000091</v>
      </c>
      <c r="EV72" s="5">
        <f t="shared" si="88"/>
        <v>9.9999999999909051E-3</v>
      </c>
      <c r="EW72" s="5">
        <v>2380</v>
      </c>
      <c r="EX72" s="5">
        <v>240</v>
      </c>
      <c r="EY72" s="5">
        <v>2608</v>
      </c>
      <c r="EZ72" s="5">
        <v>380</v>
      </c>
    </row>
    <row r="73" spans="1:160" ht="18.75" x14ac:dyDescent="0.25">
      <c r="A73" s="37">
        <v>54</v>
      </c>
      <c r="B73" s="37"/>
      <c r="C73" s="91" t="s">
        <v>188</v>
      </c>
      <c r="D73" s="105" t="s">
        <v>209</v>
      </c>
      <c r="E73" s="39"/>
      <c r="F73" s="40">
        <v>900.8</v>
      </c>
      <c r="G73" s="40">
        <v>0</v>
      </c>
      <c r="H73" s="40">
        <v>1054.0999999999999</v>
      </c>
      <c r="I73" s="40">
        <v>0</v>
      </c>
      <c r="J73" s="41">
        <v>1212.22</v>
      </c>
      <c r="K73" s="41">
        <v>0</v>
      </c>
      <c r="L73" s="41">
        <v>0</v>
      </c>
      <c r="M73" s="41">
        <f t="shared" si="148"/>
        <v>1212.22</v>
      </c>
      <c r="N73" s="41">
        <v>0</v>
      </c>
      <c r="O73" s="41">
        <v>0</v>
      </c>
      <c r="P73" s="41">
        <v>0</v>
      </c>
      <c r="Q73" s="41">
        <f t="shared" si="208"/>
        <v>0</v>
      </c>
      <c r="R73" s="41">
        <f t="shared" si="106"/>
        <v>1212.22</v>
      </c>
      <c r="S73" s="41">
        <v>0</v>
      </c>
      <c r="T73" s="92"/>
      <c r="U73" s="92"/>
      <c r="V73" s="40">
        <f t="shared" si="209"/>
        <v>1115.55</v>
      </c>
      <c r="W73" s="40">
        <f t="shared" si="210"/>
        <v>0</v>
      </c>
      <c r="X73" s="43">
        <f t="shared" si="170"/>
        <v>96.670000000000073</v>
      </c>
      <c r="Y73" s="43">
        <f t="shared" si="170"/>
        <v>0</v>
      </c>
      <c r="Z73" s="43">
        <v>1538.04</v>
      </c>
      <c r="AA73" s="43">
        <v>70</v>
      </c>
      <c r="AB73" s="43">
        <f t="shared" si="182"/>
        <v>1608.04</v>
      </c>
      <c r="AC73" s="43">
        <v>0</v>
      </c>
      <c r="AD73" s="43">
        <v>1608.04</v>
      </c>
      <c r="AE73" s="43">
        <v>0</v>
      </c>
      <c r="AF73" s="43">
        <v>0</v>
      </c>
      <c r="AG73" s="43">
        <v>402</v>
      </c>
      <c r="AH73" s="43">
        <v>0</v>
      </c>
      <c r="AI73" s="93">
        <v>134</v>
      </c>
      <c r="AJ73" s="43">
        <v>0</v>
      </c>
      <c r="AK73" s="43"/>
      <c r="AL73" s="43"/>
      <c r="AM73" s="43">
        <v>402.01</v>
      </c>
      <c r="AN73" s="43">
        <v>0</v>
      </c>
      <c r="AO73" s="43"/>
      <c r="AP73" s="43"/>
      <c r="AQ73" s="43">
        <f t="shared" si="173"/>
        <v>804.01</v>
      </c>
      <c r="AR73" s="43">
        <v>0</v>
      </c>
      <c r="AS73" s="43"/>
      <c r="AT73" s="43"/>
      <c r="AU73" s="43">
        <v>133.99</v>
      </c>
      <c r="AV73" s="43">
        <v>0</v>
      </c>
      <c r="AW73" s="43"/>
      <c r="AX73" s="43"/>
      <c r="AY73" s="43">
        <f t="shared" si="166"/>
        <v>1072</v>
      </c>
      <c r="AZ73" s="43">
        <f t="shared" si="166"/>
        <v>0</v>
      </c>
      <c r="BA73" s="43">
        <f t="shared" si="167"/>
        <v>1072</v>
      </c>
      <c r="BB73" s="60">
        <v>990.77</v>
      </c>
      <c r="BC73" s="60"/>
      <c r="BD73" s="60">
        <f t="shared" si="168"/>
        <v>81.230000000000018</v>
      </c>
      <c r="BE73" s="60">
        <f t="shared" si="168"/>
        <v>0</v>
      </c>
      <c r="BF73" s="60">
        <f t="shared" si="169"/>
        <v>198.15</v>
      </c>
      <c r="BG73" s="60">
        <f t="shared" si="169"/>
        <v>0</v>
      </c>
      <c r="BH73" s="43">
        <v>58.46</v>
      </c>
      <c r="BI73" s="43">
        <v>0</v>
      </c>
      <c r="BJ73" s="43"/>
      <c r="BK73" s="43"/>
      <c r="BL73" s="43">
        <f t="shared" si="180"/>
        <v>1130.46</v>
      </c>
      <c r="BM73" s="43">
        <f t="shared" si="180"/>
        <v>0</v>
      </c>
      <c r="BN73" s="43">
        <f t="shared" si="187"/>
        <v>1130.46</v>
      </c>
      <c r="BO73" s="43">
        <v>1008.45</v>
      </c>
      <c r="BP73" s="93"/>
      <c r="BQ73" s="43">
        <f t="shared" si="188"/>
        <v>122.00999999999999</v>
      </c>
      <c r="BR73" s="43">
        <f t="shared" si="188"/>
        <v>0</v>
      </c>
      <c r="BS73" s="43">
        <f t="shared" si="189"/>
        <v>91.68</v>
      </c>
      <c r="BT73" s="43">
        <f t="shared" si="189"/>
        <v>0</v>
      </c>
      <c r="BU73" s="43">
        <f t="shared" si="212"/>
        <v>-30.329999999999984</v>
      </c>
      <c r="BV73" s="43">
        <f t="shared" si="99"/>
        <v>0</v>
      </c>
      <c r="BW73" s="43">
        <v>437.91</v>
      </c>
      <c r="BX73" s="43"/>
      <c r="BY73" s="43"/>
      <c r="BZ73" s="43"/>
      <c r="CA73" s="43">
        <v>1538.0400000000002</v>
      </c>
      <c r="CB73" s="43">
        <v>0</v>
      </c>
      <c r="CC73" s="92">
        <v>1691.84</v>
      </c>
      <c r="CD73" s="92">
        <v>0</v>
      </c>
      <c r="CE73" s="92">
        <v>141</v>
      </c>
      <c r="CF73" s="92">
        <v>0</v>
      </c>
      <c r="CG73" s="92">
        <f t="shared" si="190"/>
        <v>384.51</v>
      </c>
      <c r="CH73" s="92">
        <f t="shared" si="190"/>
        <v>0</v>
      </c>
      <c r="CI73" s="43"/>
      <c r="CJ73" s="43"/>
      <c r="CK73" s="43">
        <v>423</v>
      </c>
      <c r="CL73" s="43">
        <v>0</v>
      </c>
      <c r="CM73" s="43"/>
      <c r="CN73" s="43"/>
      <c r="CO73" s="72">
        <v>1768.74</v>
      </c>
      <c r="CP73" s="43"/>
      <c r="CQ73" s="43">
        <f t="shared" si="191"/>
        <v>1692</v>
      </c>
      <c r="CR73" s="43">
        <f t="shared" si="191"/>
        <v>0</v>
      </c>
      <c r="CS73" s="43">
        <f t="shared" si="192"/>
        <v>1692</v>
      </c>
      <c r="CT73" s="43">
        <f t="shared" si="192"/>
        <v>0</v>
      </c>
      <c r="CU73" s="43">
        <v>1692</v>
      </c>
      <c r="CV73" s="43">
        <v>0</v>
      </c>
      <c r="CW73" s="43">
        <f t="shared" si="193"/>
        <v>423</v>
      </c>
      <c r="CX73" s="43">
        <f t="shared" si="193"/>
        <v>0</v>
      </c>
      <c r="CY73" s="43"/>
      <c r="CZ73" s="43"/>
      <c r="DA73" s="43">
        <f t="shared" si="194"/>
        <v>987</v>
      </c>
      <c r="DB73" s="43">
        <f t="shared" si="194"/>
        <v>0</v>
      </c>
      <c r="DC73" s="43">
        <v>987</v>
      </c>
      <c r="DD73" s="43">
        <v>0</v>
      </c>
      <c r="DE73" s="43">
        <f t="shared" si="195"/>
        <v>0</v>
      </c>
      <c r="DF73" s="43">
        <f t="shared" si="195"/>
        <v>0</v>
      </c>
      <c r="DG73" s="43">
        <f t="shared" si="213"/>
        <v>423</v>
      </c>
      <c r="DH73" s="43">
        <f t="shared" si="213"/>
        <v>0</v>
      </c>
      <c r="DI73" s="43">
        <f t="shared" si="196"/>
        <v>423</v>
      </c>
      <c r="DJ73" s="43">
        <f>+DH73-DF73</f>
        <v>0</v>
      </c>
      <c r="DK73" s="43"/>
      <c r="DL73" s="43"/>
      <c r="DM73" s="43">
        <f t="shared" si="197"/>
        <v>1410</v>
      </c>
      <c r="DN73" s="43">
        <f t="shared" si="197"/>
        <v>0</v>
      </c>
      <c r="DO73" s="94">
        <v>1410</v>
      </c>
      <c r="DP73" s="95">
        <v>0</v>
      </c>
      <c r="DQ73" s="60">
        <f t="shared" si="198"/>
        <v>0</v>
      </c>
      <c r="DR73" s="60">
        <f t="shared" si="198"/>
        <v>0</v>
      </c>
      <c r="DS73" s="60">
        <f t="shared" si="199"/>
        <v>141</v>
      </c>
      <c r="DT73" s="60">
        <f t="shared" si="199"/>
        <v>0</v>
      </c>
      <c r="DU73" s="60">
        <f t="shared" si="200"/>
        <v>141</v>
      </c>
      <c r="DV73" s="60">
        <f t="shared" si="200"/>
        <v>0</v>
      </c>
      <c r="DW73" s="60"/>
      <c r="DX73" s="60"/>
      <c r="DY73" s="60">
        <f t="shared" si="214"/>
        <v>141</v>
      </c>
      <c r="DZ73" s="60">
        <f t="shared" si="181"/>
        <v>0</v>
      </c>
      <c r="EA73" s="60"/>
      <c r="EB73" s="60"/>
      <c r="EC73" s="43">
        <f t="shared" si="201"/>
        <v>1551</v>
      </c>
      <c r="ED73" s="43">
        <f t="shared" si="201"/>
        <v>0</v>
      </c>
      <c r="EE73" s="43">
        <v>1410</v>
      </c>
      <c r="EF73" s="43"/>
      <c r="EG73" s="43">
        <f t="shared" si="66"/>
        <v>90.91</v>
      </c>
      <c r="EH73" s="43" t="e">
        <f t="shared" si="66"/>
        <v>#DIV/0!</v>
      </c>
      <c r="EI73" s="43">
        <f t="shared" si="202"/>
        <v>141</v>
      </c>
      <c r="EJ73" s="43">
        <f t="shared" si="202"/>
        <v>0</v>
      </c>
      <c r="EK73" s="43">
        <f t="shared" si="203"/>
        <v>128.18</v>
      </c>
      <c r="EL73" s="43">
        <f t="shared" si="203"/>
        <v>0</v>
      </c>
      <c r="EM73" s="43">
        <f t="shared" si="204"/>
        <v>-12.819999999999993</v>
      </c>
      <c r="EN73" s="43">
        <f t="shared" si="204"/>
        <v>0</v>
      </c>
      <c r="EO73" s="43">
        <v>0</v>
      </c>
      <c r="EP73" s="43">
        <v>0</v>
      </c>
      <c r="EQ73" s="5"/>
      <c r="ER73" s="5"/>
      <c r="ES73" s="5"/>
      <c r="ET73" s="5"/>
      <c r="EU73" s="5">
        <f t="shared" si="88"/>
        <v>141</v>
      </c>
      <c r="EV73" s="5">
        <f t="shared" si="88"/>
        <v>0</v>
      </c>
      <c r="EW73" s="5">
        <v>1692</v>
      </c>
      <c r="EX73" s="5">
        <v>0</v>
      </c>
      <c r="EY73" s="5">
        <v>1750</v>
      </c>
      <c r="EZ73" s="5">
        <v>0</v>
      </c>
    </row>
    <row r="74" spans="1:160" ht="18.75" x14ac:dyDescent="0.25">
      <c r="A74" s="37">
        <v>56</v>
      </c>
      <c r="B74" s="37"/>
      <c r="C74" s="91" t="s">
        <v>188</v>
      </c>
      <c r="D74" s="38" t="s">
        <v>210</v>
      </c>
      <c r="E74" s="39"/>
      <c r="F74" s="40">
        <v>333.96999999999997</v>
      </c>
      <c r="G74" s="40">
        <v>0</v>
      </c>
      <c r="H74" s="40">
        <v>373.27</v>
      </c>
      <c r="I74" s="40">
        <v>0</v>
      </c>
      <c r="J74" s="41">
        <v>429.26</v>
      </c>
      <c r="K74" s="41">
        <v>0</v>
      </c>
      <c r="L74" s="41">
        <v>0</v>
      </c>
      <c r="M74" s="41">
        <f t="shared" si="148"/>
        <v>429.26</v>
      </c>
      <c r="N74" s="41">
        <v>0</v>
      </c>
      <c r="O74" s="41">
        <v>0</v>
      </c>
      <c r="P74" s="41">
        <v>0</v>
      </c>
      <c r="Q74" s="41">
        <f t="shared" si="208"/>
        <v>0</v>
      </c>
      <c r="R74" s="41">
        <f t="shared" si="106"/>
        <v>429.26</v>
      </c>
      <c r="S74" s="41">
        <v>0</v>
      </c>
      <c r="T74" s="92"/>
      <c r="U74" s="92"/>
      <c r="V74" s="40">
        <f t="shared" si="209"/>
        <v>395.03</v>
      </c>
      <c r="W74" s="40">
        <f t="shared" si="210"/>
        <v>0</v>
      </c>
      <c r="X74" s="43">
        <f t="shared" si="170"/>
        <v>34.230000000000018</v>
      </c>
      <c r="Y74" s="43">
        <f t="shared" si="170"/>
        <v>0</v>
      </c>
      <c r="Z74" s="43">
        <v>395.03</v>
      </c>
      <c r="AA74" s="43"/>
      <c r="AB74" s="43">
        <f t="shared" si="182"/>
        <v>395.03</v>
      </c>
      <c r="AC74" s="43">
        <f t="shared" si="183"/>
        <v>0</v>
      </c>
      <c r="AD74" s="43">
        <v>395.03</v>
      </c>
      <c r="AE74" s="43">
        <v>0</v>
      </c>
      <c r="AF74" s="43">
        <v>0</v>
      </c>
      <c r="AG74" s="43">
        <v>99</v>
      </c>
      <c r="AH74" s="43">
        <v>0</v>
      </c>
      <c r="AI74" s="93">
        <v>33</v>
      </c>
      <c r="AJ74" s="43">
        <v>0</v>
      </c>
      <c r="AK74" s="43"/>
      <c r="AL74" s="43"/>
      <c r="AM74" s="43">
        <v>98.76</v>
      </c>
      <c r="AN74" s="43">
        <v>0</v>
      </c>
      <c r="AO74" s="43"/>
      <c r="AP74" s="43"/>
      <c r="AQ74" s="43">
        <f t="shared" si="173"/>
        <v>197.76</v>
      </c>
      <c r="AR74" s="43">
        <v>0</v>
      </c>
      <c r="AS74" s="43"/>
      <c r="AT74" s="43"/>
      <c r="AU74" s="43">
        <v>98.76</v>
      </c>
      <c r="AV74" s="43">
        <v>0</v>
      </c>
      <c r="AW74" s="43"/>
      <c r="AX74" s="43"/>
      <c r="AY74" s="43">
        <f t="shared" si="166"/>
        <v>329.52</v>
      </c>
      <c r="AZ74" s="43">
        <f t="shared" si="166"/>
        <v>0</v>
      </c>
      <c r="BA74" s="43">
        <f t="shared" si="167"/>
        <v>329.52</v>
      </c>
      <c r="BB74" s="60">
        <v>300.99</v>
      </c>
      <c r="BC74" s="60"/>
      <c r="BD74" s="60">
        <f t="shared" si="168"/>
        <v>28.529999999999973</v>
      </c>
      <c r="BE74" s="60">
        <f t="shared" si="168"/>
        <v>0</v>
      </c>
      <c r="BF74" s="60">
        <f t="shared" si="169"/>
        <v>60.2</v>
      </c>
      <c r="BG74" s="60">
        <f t="shared" si="169"/>
        <v>0</v>
      </c>
      <c r="BH74" s="43">
        <v>15.84</v>
      </c>
      <c r="BI74" s="43">
        <v>0</v>
      </c>
      <c r="BJ74" s="43"/>
      <c r="BK74" s="43"/>
      <c r="BL74" s="43">
        <f t="shared" si="180"/>
        <v>345.35999999999996</v>
      </c>
      <c r="BM74" s="43">
        <f t="shared" si="180"/>
        <v>0</v>
      </c>
      <c r="BN74" s="43">
        <f t="shared" si="187"/>
        <v>345.35999999999996</v>
      </c>
      <c r="BO74" s="43">
        <v>300.99</v>
      </c>
      <c r="BP74" s="93"/>
      <c r="BQ74" s="43">
        <f t="shared" si="188"/>
        <v>44.369999999999948</v>
      </c>
      <c r="BR74" s="43">
        <f t="shared" si="188"/>
        <v>0</v>
      </c>
      <c r="BS74" s="43">
        <f t="shared" si="189"/>
        <v>27.36</v>
      </c>
      <c r="BT74" s="43">
        <f t="shared" si="189"/>
        <v>0</v>
      </c>
      <c r="BU74" s="43">
        <f t="shared" si="212"/>
        <v>-17.009999999999948</v>
      </c>
      <c r="BV74" s="43">
        <f t="shared" si="99"/>
        <v>0</v>
      </c>
      <c r="BW74" s="43">
        <v>418.57</v>
      </c>
      <c r="BX74" s="43"/>
      <c r="BY74" s="43"/>
      <c r="BZ74" s="43"/>
      <c r="CA74" s="43">
        <v>746.92000000000007</v>
      </c>
      <c r="CB74" s="43">
        <v>0</v>
      </c>
      <c r="CC74" s="92">
        <v>821.61</v>
      </c>
      <c r="CD74" s="92">
        <v>0</v>
      </c>
      <c r="CE74" s="92">
        <v>68</v>
      </c>
      <c r="CF74" s="92">
        <v>0</v>
      </c>
      <c r="CG74" s="92">
        <f t="shared" si="190"/>
        <v>186.73</v>
      </c>
      <c r="CH74" s="92">
        <f t="shared" si="190"/>
        <v>0</v>
      </c>
      <c r="CI74" s="43"/>
      <c r="CJ74" s="43"/>
      <c r="CK74" s="43">
        <v>204</v>
      </c>
      <c r="CL74" s="43">
        <v>0</v>
      </c>
      <c r="CM74" s="43"/>
      <c r="CN74" s="43"/>
      <c r="CO74" s="43">
        <v>454.28</v>
      </c>
      <c r="CP74" s="43"/>
      <c r="CQ74" s="43">
        <f t="shared" si="191"/>
        <v>816</v>
      </c>
      <c r="CR74" s="43">
        <f t="shared" si="191"/>
        <v>0</v>
      </c>
      <c r="CS74" s="43">
        <f t="shared" si="192"/>
        <v>454.28</v>
      </c>
      <c r="CT74" s="43">
        <f t="shared" si="192"/>
        <v>0</v>
      </c>
      <c r="CU74" s="43">
        <v>454.28</v>
      </c>
      <c r="CV74" s="43">
        <v>0</v>
      </c>
      <c r="CW74" s="43">
        <f t="shared" si="193"/>
        <v>113.57</v>
      </c>
      <c r="CX74" s="43">
        <f t="shared" si="193"/>
        <v>0</v>
      </c>
      <c r="CY74" s="43"/>
      <c r="CZ74" s="43"/>
      <c r="DA74" s="43">
        <f t="shared" si="194"/>
        <v>385.57</v>
      </c>
      <c r="DB74" s="43">
        <f t="shared" si="194"/>
        <v>0</v>
      </c>
      <c r="DC74" s="43">
        <v>287.36</v>
      </c>
      <c r="DD74" s="43">
        <v>0</v>
      </c>
      <c r="DE74" s="43">
        <f t="shared" si="195"/>
        <v>98.20999999999998</v>
      </c>
      <c r="DF74" s="43">
        <f t="shared" si="195"/>
        <v>0</v>
      </c>
      <c r="DG74" s="43">
        <f t="shared" si="213"/>
        <v>113.57</v>
      </c>
      <c r="DH74" s="43">
        <f t="shared" si="213"/>
        <v>0</v>
      </c>
      <c r="DI74" s="43">
        <f t="shared" si="196"/>
        <v>15.360000000000014</v>
      </c>
      <c r="DJ74" s="43">
        <f>+DH74-DF74</f>
        <v>0</v>
      </c>
      <c r="DK74" s="43"/>
      <c r="DL74" s="43"/>
      <c r="DM74" s="43">
        <f t="shared" si="197"/>
        <v>400.93</v>
      </c>
      <c r="DN74" s="43">
        <f t="shared" si="197"/>
        <v>0</v>
      </c>
      <c r="DO74" s="94">
        <v>400.93</v>
      </c>
      <c r="DP74" s="95">
        <v>0</v>
      </c>
      <c r="DQ74" s="60">
        <f t="shared" si="198"/>
        <v>0</v>
      </c>
      <c r="DR74" s="60">
        <f t="shared" si="198"/>
        <v>0</v>
      </c>
      <c r="DS74" s="60">
        <f t="shared" si="199"/>
        <v>40.093000000000004</v>
      </c>
      <c r="DT74" s="60">
        <f t="shared" si="199"/>
        <v>0</v>
      </c>
      <c r="DU74" s="60">
        <f t="shared" si="200"/>
        <v>40.093000000000004</v>
      </c>
      <c r="DV74" s="60">
        <f t="shared" si="200"/>
        <v>0</v>
      </c>
      <c r="DW74" s="60"/>
      <c r="DX74" s="60"/>
      <c r="DY74" s="60">
        <f t="shared" si="214"/>
        <v>40.090000000000003</v>
      </c>
      <c r="DZ74" s="60">
        <f t="shared" si="181"/>
        <v>0</v>
      </c>
      <c r="EA74" s="60"/>
      <c r="EB74" s="60"/>
      <c r="EC74" s="43">
        <f t="shared" si="201"/>
        <v>441.02</v>
      </c>
      <c r="ED74" s="43">
        <f t="shared" si="201"/>
        <v>0</v>
      </c>
      <c r="EE74" s="43">
        <v>400.92</v>
      </c>
      <c r="EF74" s="43"/>
      <c r="EG74" s="43">
        <f t="shared" si="66"/>
        <v>90.91</v>
      </c>
      <c r="EH74" s="43" t="e">
        <f t="shared" si="66"/>
        <v>#DIV/0!</v>
      </c>
      <c r="EI74" s="43">
        <f t="shared" si="202"/>
        <v>40.1</v>
      </c>
      <c r="EJ74" s="43">
        <f t="shared" si="202"/>
        <v>0</v>
      </c>
      <c r="EK74" s="43">
        <f t="shared" si="203"/>
        <v>36.450000000000003</v>
      </c>
      <c r="EL74" s="43">
        <f t="shared" si="203"/>
        <v>0</v>
      </c>
      <c r="EM74" s="43">
        <f t="shared" si="204"/>
        <v>-3.6499999999999986</v>
      </c>
      <c r="EN74" s="43">
        <f t="shared" si="204"/>
        <v>0</v>
      </c>
      <c r="EO74" s="43">
        <v>81.41</v>
      </c>
      <c r="EP74" s="43">
        <v>0</v>
      </c>
      <c r="EQ74" s="5"/>
      <c r="ER74" s="5"/>
      <c r="ES74" s="5"/>
      <c r="ET74" s="5"/>
      <c r="EU74" s="5">
        <f t="shared" si="88"/>
        <v>0</v>
      </c>
      <c r="EV74" s="5">
        <f t="shared" si="88"/>
        <v>0</v>
      </c>
      <c r="EW74" s="5">
        <v>522.43000000000006</v>
      </c>
      <c r="EX74" s="5">
        <v>0</v>
      </c>
      <c r="EY74" s="5">
        <v>600</v>
      </c>
      <c r="EZ74" s="5">
        <v>0</v>
      </c>
    </row>
    <row r="75" spans="1:160" ht="18.75" x14ac:dyDescent="0.25">
      <c r="A75" s="68"/>
      <c r="B75" s="68" t="s">
        <v>211</v>
      </c>
      <c r="C75" s="91" t="s">
        <v>188</v>
      </c>
      <c r="D75" s="67" t="s">
        <v>208</v>
      </c>
      <c r="E75" s="69" t="s">
        <v>212</v>
      </c>
      <c r="F75" s="70">
        <v>3748.3400000000006</v>
      </c>
      <c r="G75" s="70">
        <v>194.81</v>
      </c>
      <c r="H75" s="70">
        <v>4025.7100000000005</v>
      </c>
      <c r="I75" s="70">
        <v>205</v>
      </c>
      <c r="J75" s="71" t="e">
        <f>+J72+J73+#REF!+J74</f>
        <v>#REF!</v>
      </c>
      <c r="K75" s="71" t="e">
        <f>+K72+K73+#REF!+K74</f>
        <v>#REF!</v>
      </c>
      <c r="L75" s="71" t="e">
        <f>+L72+L73+#REF!+L74</f>
        <v>#REF!</v>
      </c>
      <c r="M75" s="71" t="e">
        <f>+M72+M73+#REF!+M74</f>
        <v>#REF!</v>
      </c>
      <c r="N75" s="71" t="e">
        <f>+N72+N73+#REF!+N74</f>
        <v>#REF!</v>
      </c>
      <c r="O75" s="71" t="e">
        <f>+O72+O73+#REF!+O74</f>
        <v>#REF!</v>
      </c>
      <c r="P75" s="71" t="e">
        <f>+P72+P73+#REF!+P74</f>
        <v>#REF!</v>
      </c>
      <c r="Q75" s="71" t="e">
        <f>+Q72+Q73+#REF!+Q74</f>
        <v>#REF!</v>
      </c>
      <c r="R75" s="71" t="e">
        <f>+R72+R73+#REF!+R74</f>
        <v>#REF!</v>
      </c>
      <c r="S75" s="71" t="e">
        <f>+S72+S73+#REF!+S74</f>
        <v>#REF!</v>
      </c>
      <c r="T75" s="71" t="e">
        <f>+T72+T73+#REF!+T74</f>
        <v>#REF!</v>
      </c>
      <c r="U75" s="71" t="e">
        <f>+U72+U73+#REF!+U74</f>
        <v>#REF!</v>
      </c>
      <c r="V75" s="71" t="e">
        <f>+V72+V73+#REF!+V74</f>
        <v>#REF!</v>
      </c>
      <c r="W75" s="71" t="e">
        <f>+W72+W73+#REF!+W74</f>
        <v>#REF!</v>
      </c>
      <c r="X75" s="71" t="e">
        <f>+X72+X73+#REF!+X74</f>
        <v>#REF!</v>
      </c>
      <c r="Y75" s="71" t="e">
        <f>+Y72+Y73+#REF!+Y74</f>
        <v>#REF!</v>
      </c>
      <c r="Z75" s="71" t="e">
        <f>+Z72+Z73+#REF!+Z74</f>
        <v>#REF!</v>
      </c>
      <c r="AA75" s="71" t="e">
        <f>+AA72+AA73+#REF!+AA74</f>
        <v>#REF!</v>
      </c>
      <c r="AB75" s="70" t="e">
        <f t="shared" si="182"/>
        <v>#REF!</v>
      </c>
      <c r="AC75" s="43" t="e">
        <f t="shared" si="183"/>
        <v>#REF!</v>
      </c>
      <c r="AD75" s="70">
        <f t="shared" ref="AD75:CO75" si="215">+AD72+AD73+AD74</f>
        <v>4260.3999999999996</v>
      </c>
      <c r="AE75" s="70">
        <f t="shared" si="215"/>
        <v>200</v>
      </c>
      <c r="AF75" s="70">
        <f t="shared" si="215"/>
        <v>180.44</v>
      </c>
      <c r="AG75" s="70">
        <f t="shared" si="215"/>
        <v>1065</v>
      </c>
      <c r="AH75" s="70">
        <f t="shared" si="215"/>
        <v>50</v>
      </c>
      <c r="AI75" s="70">
        <f t="shared" si="215"/>
        <v>355</v>
      </c>
      <c r="AJ75" s="70">
        <f t="shared" si="215"/>
        <v>17</v>
      </c>
      <c r="AK75" s="70">
        <f t="shared" si="215"/>
        <v>0</v>
      </c>
      <c r="AL75" s="70">
        <f t="shared" si="215"/>
        <v>0</v>
      </c>
      <c r="AM75" s="70">
        <f t="shared" si="215"/>
        <v>1065.1000000000001</v>
      </c>
      <c r="AN75" s="70">
        <f t="shared" si="215"/>
        <v>48.7</v>
      </c>
      <c r="AO75" s="70">
        <f t="shared" si="215"/>
        <v>0</v>
      </c>
      <c r="AP75" s="70">
        <f t="shared" si="215"/>
        <v>0</v>
      </c>
      <c r="AQ75" s="70">
        <f t="shared" si="215"/>
        <v>2130.1</v>
      </c>
      <c r="AR75" s="70">
        <f t="shared" si="215"/>
        <v>98.7</v>
      </c>
      <c r="AS75" s="70">
        <f t="shared" si="215"/>
        <v>0</v>
      </c>
      <c r="AT75" s="70">
        <f t="shared" si="215"/>
        <v>0</v>
      </c>
      <c r="AU75" s="70">
        <f t="shared" si="215"/>
        <v>797.08</v>
      </c>
      <c r="AV75" s="70">
        <f t="shared" si="215"/>
        <v>84.3</v>
      </c>
      <c r="AW75" s="70">
        <f t="shared" si="215"/>
        <v>0</v>
      </c>
      <c r="AX75" s="70">
        <f t="shared" si="215"/>
        <v>0</v>
      </c>
      <c r="AY75" s="70">
        <f t="shared" si="215"/>
        <v>3282.18</v>
      </c>
      <c r="AZ75" s="70">
        <f t="shared" si="215"/>
        <v>200</v>
      </c>
      <c r="BA75" s="70">
        <f t="shared" si="215"/>
        <v>3482.18</v>
      </c>
      <c r="BB75" s="70">
        <f t="shared" si="215"/>
        <v>3053.8499999999995</v>
      </c>
      <c r="BC75" s="70">
        <f t="shared" si="215"/>
        <v>195.34</v>
      </c>
      <c r="BD75" s="70">
        <f t="shared" si="215"/>
        <v>228.32999999999993</v>
      </c>
      <c r="BE75" s="70">
        <f t="shared" si="215"/>
        <v>4.6599999999999966</v>
      </c>
      <c r="BF75" s="70">
        <f t="shared" si="215"/>
        <v>610.7700000000001</v>
      </c>
      <c r="BG75" s="96">
        <f t="shared" si="215"/>
        <v>39.07</v>
      </c>
      <c r="BH75" s="96">
        <f t="shared" si="215"/>
        <v>191.23000000000002</v>
      </c>
      <c r="BI75" s="96">
        <f t="shared" si="215"/>
        <v>15</v>
      </c>
      <c r="BJ75" s="96">
        <f t="shared" si="215"/>
        <v>0</v>
      </c>
      <c r="BK75" s="96">
        <f t="shared" si="215"/>
        <v>0</v>
      </c>
      <c r="BL75" s="96">
        <f t="shared" si="215"/>
        <v>3473.4100000000003</v>
      </c>
      <c r="BM75" s="96">
        <f t="shared" si="215"/>
        <v>215</v>
      </c>
      <c r="BN75" s="96">
        <f t="shared" si="215"/>
        <v>3688.4100000000003</v>
      </c>
      <c r="BO75" s="96">
        <f t="shared" si="215"/>
        <v>3256.2699999999995</v>
      </c>
      <c r="BP75" s="96">
        <f t="shared" si="215"/>
        <v>197.76</v>
      </c>
      <c r="BQ75" s="70">
        <f t="shared" si="215"/>
        <v>217.13999999999993</v>
      </c>
      <c r="BR75" s="70">
        <f t="shared" si="215"/>
        <v>17.240000000000009</v>
      </c>
      <c r="BS75" s="70">
        <f t="shared" si="215"/>
        <v>296.02</v>
      </c>
      <c r="BT75" s="70">
        <f t="shared" si="215"/>
        <v>17.98</v>
      </c>
      <c r="BU75" s="70">
        <f t="shared" si="215"/>
        <v>78.880000000000067</v>
      </c>
      <c r="BV75" s="70">
        <f t="shared" si="215"/>
        <v>0</v>
      </c>
      <c r="BW75" s="70">
        <f t="shared" si="215"/>
        <v>880.71</v>
      </c>
      <c r="BX75" s="70">
        <f t="shared" si="215"/>
        <v>11.97</v>
      </c>
      <c r="BY75" s="70">
        <f t="shared" si="215"/>
        <v>0</v>
      </c>
      <c r="BZ75" s="70">
        <f t="shared" si="215"/>
        <v>0</v>
      </c>
      <c r="CA75" s="70">
        <f t="shared" si="215"/>
        <v>4433</v>
      </c>
      <c r="CB75" s="70">
        <f t="shared" si="215"/>
        <v>226.97</v>
      </c>
      <c r="CC75" s="70">
        <f t="shared" si="215"/>
        <v>4876.29</v>
      </c>
      <c r="CD75" s="70">
        <f t="shared" si="215"/>
        <v>261.02</v>
      </c>
      <c r="CE75" s="70">
        <f t="shared" si="215"/>
        <v>406</v>
      </c>
      <c r="CF75" s="70">
        <f t="shared" si="215"/>
        <v>22</v>
      </c>
      <c r="CG75" s="70">
        <f t="shared" si="215"/>
        <v>1108.25</v>
      </c>
      <c r="CH75" s="96">
        <f t="shared" si="215"/>
        <v>56.74</v>
      </c>
      <c r="CI75" s="70">
        <f t="shared" si="215"/>
        <v>0</v>
      </c>
      <c r="CJ75" s="70">
        <f t="shared" si="215"/>
        <v>0</v>
      </c>
      <c r="CK75" s="70">
        <f t="shared" si="215"/>
        <v>1227</v>
      </c>
      <c r="CL75" s="70">
        <f t="shared" si="215"/>
        <v>120</v>
      </c>
      <c r="CM75" s="70">
        <f t="shared" si="215"/>
        <v>0</v>
      </c>
      <c r="CN75" s="70">
        <f t="shared" si="215"/>
        <v>0</v>
      </c>
      <c r="CO75" s="70">
        <f t="shared" si="215"/>
        <v>4723.0199999999995</v>
      </c>
      <c r="CP75" s="70">
        <f t="shared" ref="CP75:FA75" si="216">+CP72+CP73+CP74</f>
        <v>300</v>
      </c>
      <c r="CQ75" s="70">
        <f t="shared" si="216"/>
        <v>4908</v>
      </c>
      <c r="CR75" s="70">
        <f t="shared" si="216"/>
        <v>480</v>
      </c>
      <c r="CS75" s="70">
        <f t="shared" si="216"/>
        <v>4546.28</v>
      </c>
      <c r="CT75" s="70">
        <f t="shared" si="216"/>
        <v>300</v>
      </c>
      <c r="CU75" s="70">
        <f t="shared" si="216"/>
        <v>4546.28</v>
      </c>
      <c r="CV75" s="70">
        <f t="shared" si="216"/>
        <v>300</v>
      </c>
      <c r="CW75" s="70">
        <f t="shared" si="216"/>
        <v>1136.57</v>
      </c>
      <c r="CX75" s="70">
        <f t="shared" si="216"/>
        <v>15</v>
      </c>
      <c r="CY75" s="70">
        <f t="shared" si="216"/>
        <v>0</v>
      </c>
      <c r="CZ75" s="70">
        <f t="shared" si="216"/>
        <v>0</v>
      </c>
      <c r="DA75" s="70">
        <f t="shared" si="216"/>
        <v>2769.57</v>
      </c>
      <c r="DB75" s="70">
        <f t="shared" si="216"/>
        <v>157</v>
      </c>
      <c r="DC75" s="70">
        <f t="shared" si="216"/>
        <v>2648.36</v>
      </c>
      <c r="DD75" s="70">
        <f t="shared" si="216"/>
        <v>293.99</v>
      </c>
      <c r="DE75" s="70">
        <f t="shared" si="216"/>
        <v>121.20999999999998</v>
      </c>
      <c r="DF75" s="70">
        <f t="shared" si="216"/>
        <v>-136.99</v>
      </c>
      <c r="DG75" s="70">
        <f t="shared" si="216"/>
        <v>1131.57</v>
      </c>
      <c r="DH75" s="70">
        <f t="shared" si="216"/>
        <v>60</v>
      </c>
      <c r="DI75" s="70">
        <f t="shared" si="216"/>
        <v>1010.36</v>
      </c>
      <c r="DJ75" s="70">
        <f t="shared" si="216"/>
        <v>81.990000000000009</v>
      </c>
      <c r="DK75" s="70">
        <f t="shared" si="216"/>
        <v>0</v>
      </c>
      <c r="DL75" s="70">
        <f t="shared" si="216"/>
        <v>0</v>
      </c>
      <c r="DM75" s="70">
        <f t="shared" si="216"/>
        <v>3779.93</v>
      </c>
      <c r="DN75" s="70">
        <f t="shared" si="216"/>
        <v>238.99</v>
      </c>
      <c r="DO75" s="97">
        <f t="shared" si="216"/>
        <v>3800.61</v>
      </c>
      <c r="DP75" s="98">
        <f t="shared" si="216"/>
        <v>196.28</v>
      </c>
      <c r="DQ75" s="98">
        <f t="shared" si="216"/>
        <v>-20.68</v>
      </c>
      <c r="DR75" s="98">
        <f t="shared" si="216"/>
        <v>42.71</v>
      </c>
      <c r="DS75" s="98">
        <f t="shared" si="216"/>
        <v>380.06100000000004</v>
      </c>
      <c r="DT75" s="98">
        <f t="shared" si="216"/>
        <v>19.628</v>
      </c>
      <c r="DU75" s="98">
        <f t="shared" si="216"/>
        <v>400.74100000000004</v>
      </c>
      <c r="DV75" s="98">
        <f t="shared" si="216"/>
        <v>-23.082000000000001</v>
      </c>
      <c r="DW75" s="98">
        <f t="shared" si="216"/>
        <v>0</v>
      </c>
      <c r="DX75" s="98">
        <f t="shared" si="216"/>
        <v>0</v>
      </c>
      <c r="DY75" s="98">
        <f t="shared" si="216"/>
        <v>400.74</v>
      </c>
      <c r="DZ75" s="98">
        <f t="shared" si="216"/>
        <v>0</v>
      </c>
      <c r="EA75" s="98">
        <f t="shared" si="216"/>
        <v>0</v>
      </c>
      <c r="EB75" s="134">
        <f t="shared" si="216"/>
        <v>0</v>
      </c>
      <c r="EC75" s="140">
        <f t="shared" si="216"/>
        <v>4180.67</v>
      </c>
      <c r="ED75" s="140">
        <f t="shared" si="216"/>
        <v>238.99</v>
      </c>
      <c r="EE75" s="140">
        <f t="shared" si="216"/>
        <v>3994.9900000000002</v>
      </c>
      <c r="EF75" s="140">
        <f t="shared" si="216"/>
        <v>203.05</v>
      </c>
      <c r="EG75" s="140">
        <f t="shared" si="216"/>
        <v>281.61</v>
      </c>
      <c r="EH75" s="140" t="e">
        <f t="shared" si="216"/>
        <v>#DIV/0!</v>
      </c>
      <c r="EI75" s="140">
        <f t="shared" si="216"/>
        <v>185.68</v>
      </c>
      <c r="EJ75" s="140">
        <f t="shared" si="216"/>
        <v>35.94</v>
      </c>
      <c r="EK75" s="140">
        <f t="shared" si="216"/>
        <v>363.18</v>
      </c>
      <c r="EL75" s="140">
        <f t="shared" si="216"/>
        <v>18.46</v>
      </c>
      <c r="EM75" s="140">
        <f t="shared" si="216"/>
        <v>177.5</v>
      </c>
      <c r="EN75" s="140">
        <f t="shared" si="216"/>
        <v>-17.479999999999997</v>
      </c>
      <c r="EO75" s="140">
        <f t="shared" si="216"/>
        <v>299.40999999999997</v>
      </c>
      <c r="EP75" s="140">
        <f t="shared" si="216"/>
        <v>1</v>
      </c>
      <c r="EQ75" s="136">
        <f t="shared" si="216"/>
        <v>0</v>
      </c>
      <c r="ER75" s="47">
        <f t="shared" si="216"/>
        <v>0</v>
      </c>
      <c r="ES75" s="47">
        <f t="shared" si="216"/>
        <v>0</v>
      </c>
      <c r="ET75" s="47">
        <f t="shared" si="216"/>
        <v>0</v>
      </c>
      <c r="EU75" s="5">
        <f t="shared" si="88"/>
        <v>114.35000000000025</v>
      </c>
      <c r="EV75" s="5">
        <f t="shared" si="88"/>
        <v>9.9999999999909051E-3</v>
      </c>
      <c r="EW75" s="46">
        <f t="shared" si="216"/>
        <v>4594.43</v>
      </c>
      <c r="EX75" s="46">
        <f t="shared" si="216"/>
        <v>240</v>
      </c>
      <c r="EY75" s="46">
        <f t="shared" si="216"/>
        <v>4958</v>
      </c>
      <c r="EZ75" s="46">
        <f t="shared" si="216"/>
        <v>380</v>
      </c>
      <c r="FA75" s="46">
        <f t="shared" si="216"/>
        <v>0</v>
      </c>
    </row>
    <row r="76" spans="1:160" ht="18.75" x14ac:dyDescent="0.25">
      <c r="A76" s="37">
        <v>57</v>
      </c>
      <c r="B76" s="37"/>
      <c r="C76" s="91" t="s">
        <v>188</v>
      </c>
      <c r="D76" s="38" t="s">
        <v>213</v>
      </c>
      <c r="E76" s="39"/>
      <c r="F76" s="40">
        <v>2684.24</v>
      </c>
      <c r="G76" s="40">
        <v>284.73999999999995</v>
      </c>
      <c r="H76" s="40">
        <v>2708.0699999999997</v>
      </c>
      <c r="I76" s="40">
        <v>334.73999999999995</v>
      </c>
      <c r="J76" s="41">
        <v>2835</v>
      </c>
      <c r="K76" s="41">
        <v>265</v>
      </c>
      <c r="L76" s="41">
        <v>0</v>
      </c>
      <c r="M76" s="41">
        <f t="shared" si="148"/>
        <v>3100</v>
      </c>
      <c r="N76" s="41">
        <v>0</v>
      </c>
      <c r="O76" s="41">
        <v>0</v>
      </c>
      <c r="P76" s="41">
        <v>0</v>
      </c>
      <c r="Q76" s="41">
        <f t="shared" ref="Q76:Q78" si="217">N76+O76+P76</f>
        <v>0</v>
      </c>
      <c r="R76" s="41">
        <f t="shared" si="106"/>
        <v>3100</v>
      </c>
      <c r="S76" s="41">
        <v>300</v>
      </c>
      <c r="T76" s="92"/>
      <c r="U76" s="92"/>
      <c r="V76" s="40">
        <f t="shared" ref="V76:V78" si="218">ROUND(H76*1.0583,2)</f>
        <v>2865.95</v>
      </c>
      <c r="W76" s="40">
        <f t="shared" ref="W76:W78" si="219">ROUND(I76*1.0327,2)</f>
        <v>345.69</v>
      </c>
      <c r="X76" s="43">
        <f t="shared" si="170"/>
        <v>234.05000000000018</v>
      </c>
      <c r="Y76" s="43">
        <f t="shared" si="170"/>
        <v>-45.69</v>
      </c>
      <c r="Z76" s="43">
        <v>2865.95</v>
      </c>
      <c r="AA76" s="43"/>
      <c r="AB76" s="43">
        <f t="shared" si="182"/>
        <v>2865.95</v>
      </c>
      <c r="AC76" s="43">
        <f t="shared" si="183"/>
        <v>0</v>
      </c>
      <c r="AD76" s="43">
        <f t="shared" ref="AD76:AE78" si="220">IF(X76&gt;0,V76,R76)</f>
        <v>2865.95</v>
      </c>
      <c r="AE76" s="43">
        <f t="shared" si="220"/>
        <v>300</v>
      </c>
      <c r="AF76" s="43">
        <f t="shared" si="184"/>
        <v>270.66000000000003</v>
      </c>
      <c r="AG76" s="43">
        <f t="shared" si="171"/>
        <v>716</v>
      </c>
      <c r="AH76" s="43">
        <f t="shared" si="171"/>
        <v>75</v>
      </c>
      <c r="AI76" s="93">
        <f t="shared" si="172"/>
        <v>239</v>
      </c>
      <c r="AJ76" s="43">
        <f t="shared" si="172"/>
        <v>25</v>
      </c>
      <c r="AK76" s="43"/>
      <c r="AL76" s="43"/>
      <c r="AM76" s="43">
        <f t="shared" si="185"/>
        <v>716.49</v>
      </c>
      <c r="AN76" s="43">
        <f t="shared" si="186"/>
        <v>73.05</v>
      </c>
      <c r="AO76" s="43"/>
      <c r="AP76" s="43"/>
      <c r="AQ76" s="43">
        <f t="shared" si="173"/>
        <v>1432.49</v>
      </c>
      <c r="AR76" s="43">
        <f t="shared" si="173"/>
        <v>148.05000000000001</v>
      </c>
      <c r="AS76" s="43"/>
      <c r="AT76" s="43"/>
      <c r="AU76" s="43">
        <f t="shared" si="165"/>
        <v>716.49</v>
      </c>
      <c r="AV76" s="43">
        <f t="shared" si="165"/>
        <v>75</v>
      </c>
      <c r="AW76" s="43"/>
      <c r="AX76" s="43"/>
      <c r="AY76" s="43">
        <f t="shared" si="166"/>
        <v>2387.98</v>
      </c>
      <c r="AZ76" s="43">
        <f t="shared" si="166"/>
        <v>248.05</v>
      </c>
      <c r="BA76" s="43">
        <f t="shared" si="167"/>
        <v>2636.03</v>
      </c>
      <c r="BB76" s="60">
        <v>2262.13</v>
      </c>
      <c r="BC76" s="60">
        <v>283.75</v>
      </c>
      <c r="BD76" s="60">
        <f t="shared" si="168"/>
        <v>125.84999999999991</v>
      </c>
      <c r="BE76" s="60">
        <f t="shared" si="168"/>
        <v>-35.699999999999989</v>
      </c>
      <c r="BF76" s="60">
        <f t="shared" si="169"/>
        <v>452.43</v>
      </c>
      <c r="BG76" s="60">
        <f t="shared" si="169"/>
        <v>56.75</v>
      </c>
      <c r="BH76" s="43">
        <v>163.29</v>
      </c>
      <c r="BI76" s="43">
        <v>32.5</v>
      </c>
      <c r="BJ76" s="43"/>
      <c r="BK76" s="43"/>
      <c r="BL76" s="43">
        <f t="shared" si="180"/>
        <v>2551.27</v>
      </c>
      <c r="BM76" s="43">
        <f t="shared" si="180"/>
        <v>280.55</v>
      </c>
      <c r="BN76" s="43">
        <f t="shared" si="187"/>
        <v>2831.82</v>
      </c>
      <c r="BO76" s="43">
        <v>2517.65</v>
      </c>
      <c r="BP76" s="93">
        <v>312.14</v>
      </c>
      <c r="BQ76" s="43">
        <f t="shared" si="188"/>
        <v>33.619999999999891</v>
      </c>
      <c r="BR76" s="43">
        <f t="shared" si="188"/>
        <v>-31.589999999999975</v>
      </c>
      <c r="BS76" s="43">
        <f t="shared" si="189"/>
        <v>228.88</v>
      </c>
      <c r="BT76" s="43">
        <f t="shared" si="189"/>
        <v>28.38</v>
      </c>
      <c r="BU76" s="43">
        <f t="shared" si="212"/>
        <v>195.2600000000001</v>
      </c>
      <c r="BV76" s="43">
        <f>ROUND(BT76-BR76,2)-20</f>
        <v>39.97</v>
      </c>
      <c r="BW76" s="43">
        <v>36.79</v>
      </c>
      <c r="BX76" s="43">
        <v>27.48</v>
      </c>
      <c r="BY76" s="43"/>
      <c r="BZ76" s="43"/>
      <c r="CA76" s="43">
        <v>2783.32</v>
      </c>
      <c r="CB76" s="43">
        <v>348</v>
      </c>
      <c r="CC76" s="92">
        <v>3061.65</v>
      </c>
      <c r="CD76" s="92">
        <v>400.2</v>
      </c>
      <c r="CE76" s="92">
        <v>255</v>
      </c>
      <c r="CF76" s="92">
        <v>33</v>
      </c>
      <c r="CG76" s="92">
        <f t="shared" si="190"/>
        <v>695.83</v>
      </c>
      <c r="CH76" s="92">
        <f t="shared" si="190"/>
        <v>87</v>
      </c>
      <c r="CI76" s="43"/>
      <c r="CJ76" s="43"/>
      <c r="CK76" s="43">
        <v>760</v>
      </c>
      <c r="CL76" s="72">
        <f>100-25</f>
        <v>75</v>
      </c>
      <c r="CM76" s="72"/>
      <c r="CN76" s="72"/>
      <c r="CO76" s="43">
        <v>3150</v>
      </c>
      <c r="CP76" s="43">
        <v>450</v>
      </c>
      <c r="CQ76" s="43">
        <f t="shared" si="191"/>
        <v>3040</v>
      </c>
      <c r="CR76" s="43">
        <f t="shared" si="191"/>
        <v>300</v>
      </c>
      <c r="CS76" s="43">
        <f t="shared" si="192"/>
        <v>3040</v>
      </c>
      <c r="CT76" s="43">
        <f t="shared" si="192"/>
        <v>300</v>
      </c>
      <c r="CU76" s="43">
        <v>3040</v>
      </c>
      <c r="CV76" s="43">
        <v>300</v>
      </c>
      <c r="CW76" s="43">
        <f t="shared" si="193"/>
        <v>760</v>
      </c>
      <c r="CX76" s="43">
        <f>ROUND(CV76*25%,2)-60</f>
        <v>15</v>
      </c>
      <c r="CY76" s="43">
        <v>200</v>
      </c>
      <c r="CZ76" s="43"/>
      <c r="DA76" s="43">
        <f t="shared" si="194"/>
        <v>1975</v>
      </c>
      <c r="DB76" s="43">
        <f t="shared" si="194"/>
        <v>123</v>
      </c>
      <c r="DC76" s="43">
        <v>1892.73</v>
      </c>
      <c r="DD76" s="43">
        <v>57.92</v>
      </c>
      <c r="DE76" s="43">
        <f t="shared" si="195"/>
        <v>82.269999999999982</v>
      </c>
      <c r="DF76" s="43">
        <f t="shared" si="195"/>
        <v>65.08</v>
      </c>
      <c r="DG76" s="43">
        <f t="shared" ref="DG76:DH78" si="221">ROUND(0.25*(MIN(CU76,EW76)),2)</f>
        <v>760</v>
      </c>
      <c r="DH76" s="43">
        <f t="shared" si="221"/>
        <v>75</v>
      </c>
      <c r="DI76" s="43">
        <f t="shared" si="196"/>
        <v>677.73</v>
      </c>
      <c r="DJ76" s="43">
        <f>+DH76-DF76</f>
        <v>9.9200000000000017</v>
      </c>
      <c r="DK76" s="43">
        <v>150</v>
      </c>
      <c r="DL76" s="43"/>
      <c r="DM76" s="43">
        <f t="shared" si="197"/>
        <v>2802.73</v>
      </c>
      <c r="DN76" s="43">
        <f t="shared" si="197"/>
        <v>132.92000000000002</v>
      </c>
      <c r="DO76" s="94">
        <v>2787.83</v>
      </c>
      <c r="DP76" s="99">
        <v>132.06</v>
      </c>
      <c r="DQ76" s="60">
        <f t="shared" si="198"/>
        <v>14.9</v>
      </c>
      <c r="DR76" s="60">
        <f t="shared" si="198"/>
        <v>0.86</v>
      </c>
      <c r="DS76" s="60">
        <f t="shared" si="199"/>
        <v>278.78300000000002</v>
      </c>
      <c r="DT76" s="60">
        <f t="shared" si="199"/>
        <v>13.206</v>
      </c>
      <c r="DU76" s="60">
        <f t="shared" si="200"/>
        <v>263.88300000000004</v>
      </c>
      <c r="DV76" s="60">
        <f t="shared" si="200"/>
        <v>12.346</v>
      </c>
      <c r="DW76" s="60">
        <v>50</v>
      </c>
      <c r="DX76" s="60"/>
      <c r="DY76" s="60">
        <f t="shared" si="214"/>
        <v>313.88</v>
      </c>
      <c r="DZ76" s="60">
        <f t="shared" si="181"/>
        <v>12.35</v>
      </c>
      <c r="EA76" s="60"/>
      <c r="EB76" s="60"/>
      <c r="EC76" s="43">
        <f t="shared" si="201"/>
        <v>3116.61</v>
      </c>
      <c r="ED76" s="43">
        <f t="shared" si="201"/>
        <v>145.27000000000001</v>
      </c>
      <c r="EE76" s="43">
        <v>3047.24</v>
      </c>
      <c r="EF76" s="43">
        <v>138.31</v>
      </c>
      <c r="EG76" s="43">
        <f t="shared" si="66"/>
        <v>97.77</v>
      </c>
      <c r="EH76" s="43">
        <f t="shared" si="66"/>
        <v>95.21</v>
      </c>
      <c r="EI76" s="43">
        <f t="shared" si="202"/>
        <v>69.37</v>
      </c>
      <c r="EJ76" s="43">
        <f t="shared" si="202"/>
        <v>6.96</v>
      </c>
      <c r="EK76" s="43">
        <f t="shared" si="203"/>
        <v>277.02</v>
      </c>
      <c r="EL76" s="43">
        <f t="shared" si="203"/>
        <v>12.57</v>
      </c>
      <c r="EM76" s="43">
        <f t="shared" si="204"/>
        <v>207.64999999999998</v>
      </c>
      <c r="EN76" s="43">
        <f t="shared" si="204"/>
        <v>5.61</v>
      </c>
      <c r="EO76" s="43">
        <v>270</v>
      </c>
      <c r="EP76" s="43">
        <v>100</v>
      </c>
      <c r="EQ76" s="5"/>
      <c r="ER76" s="5"/>
      <c r="ES76" s="5"/>
      <c r="ET76" s="5"/>
      <c r="EU76" s="5">
        <f t="shared" si="88"/>
        <v>-25.440000000000055</v>
      </c>
      <c r="EV76" s="5">
        <f t="shared" si="88"/>
        <v>104.72999999999999</v>
      </c>
      <c r="EW76" s="5">
        <v>3361.17</v>
      </c>
      <c r="EX76" s="5">
        <v>350</v>
      </c>
      <c r="EY76" s="5">
        <v>3344</v>
      </c>
      <c r="EZ76" s="5">
        <v>350</v>
      </c>
    </row>
    <row r="77" spans="1:160" ht="18.75" x14ac:dyDescent="0.25">
      <c r="A77" s="37">
        <v>58</v>
      </c>
      <c r="B77" s="37"/>
      <c r="C77" s="91" t="s">
        <v>188</v>
      </c>
      <c r="D77" s="38" t="s">
        <v>214</v>
      </c>
      <c r="E77" s="39"/>
      <c r="F77" s="40">
        <v>2794.78</v>
      </c>
      <c r="G77" s="40">
        <v>0</v>
      </c>
      <c r="H77" s="40">
        <v>2794.78</v>
      </c>
      <c r="I77" s="40">
        <v>0</v>
      </c>
      <c r="J77" s="41">
        <v>3397.03</v>
      </c>
      <c r="K77" s="41">
        <v>0</v>
      </c>
      <c r="L77" s="41">
        <v>0</v>
      </c>
      <c r="M77" s="41">
        <f t="shared" si="148"/>
        <v>3397.03</v>
      </c>
      <c r="N77" s="41">
        <v>363.97</v>
      </c>
      <c r="O77" s="41">
        <v>0</v>
      </c>
      <c r="P77" s="41">
        <v>0</v>
      </c>
      <c r="Q77" s="41">
        <f t="shared" si="217"/>
        <v>363.97</v>
      </c>
      <c r="R77" s="41">
        <f t="shared" si="106"/>
        <v>3761</v>
      </c>
      <c r="S77" s="41">
        <v>0</v>
      </c>
      <c r="T77" s="92"/>
      <c r="U77" s="92"/>
      <c r="V77" s="40">
        <f t="shared" si="218"/>
        <v>2957.72</v>
      </c>
      <c r="W77" s="40">
        <f t="shared" si="219"/>
        <v>0</v>
      </c>
      <c r="X77" s="43">
        <f t="shared" si="170"/>
        <v>803.2800000000002</v>
      </c>
      <c r="Y77" s="43">
        <f t="shared" si="170"/>
        <v>0</v>
      </c>
      <c r="Z77" s="43">
        <v>2707.72</v>
      </c>
      <c r="AA77" s="43">
        <v>250</v>
      </c>
      <c r="AB77" s="43">
        <f t="shared" si="182"/>
        <v>2957.72</v>
      </c>
      <c r="AC77" s="43">
        <f t="shared" si="183"/>
        <v>0</v>
      </c>
      <c r="AD77" s="43">
        <f t="shared" si="220"/>
        <v>2957.72</v>
      </c>
      <c r="AE77" s="43">
        <f t="shared" si="220"/>
        <v>0</v>
      </c>
      <c r="AF77" s="43">
        <f t="shared" si="184"/>
        <v>0</v>
      </c>
      <c r="AG77" s="43">
        <f t="shared" si="171"/>
        <v>739</v>
      </c>
      <c r="AH77" s="43">
        <f t="shared" si="171"/>
        <v>0</v>
      </c>
      <c r="AI77" s="93">
        <f t="shared" si="172"/>
        <v>246</v>
      </c>
      <c r="AJ77" s="43">
        <f t="shared" si="172"/>
        <v>0</v>
      </c>
      <c r="AK77" s="43"/>
      <c r="AL77" s="43"/>
      <c r="AM77" s="43">
        <f t="shared" si="185"/>
        <v>739.43</v>
      </c>
      <c r="AN77" s="43">
        <f t="shared" si="186"/>
        <v>0</v>
      </c>
      <c r="AO77" s="43"/>
      <c r="AP77" s="43"/>
      <c r="AQ77" s="43">
        <f t="shared" si="173"/>
        <v>1478.4299999999998</v>
      </c>
      <c r="AR77" s="43">
        <f t="shared" si="173"/>
        <v>0</v>
      </c>
      <c r="AS77" s="43"/>
      <c r="AT77" s="43"/>
      <c r="AU77" s="43">
        <f t="shared" si="165"/>
        <v>739.43</v>
      </c>
      <c r="AV77" s="43">
        <f t="shared" si="165"/>
        <v>0</v>
      </c>
      <c r="AW77" s="43"/>
      <c r="AX77" s="43"/>
      <c r="AY77" s="43">
        <f t="shared" si="166"/>
        <v>2463.8599999999997</v>
      </c>
      <c r="AZ77" s="43">
        <f t="shared" si="166"/>
        <v>0</v>
      </c>
      <c r="BA77" s="43">
        <f t="shared" si="167"/>
        <v>2463.8599999999997</v>
      </c>
      <c r="BB77" s="60">
        <v>2071.69</v>
      </c>
      <c r="BC77" s="60"/>
      <c r="BD77" s="60">
        <f t="shared" si="168"/>
        <v>392.16999999999962</v>
      </c>
      <c r="BE77" s="60">
        <f t="shared" si="168"/>
        <v>0</v>
      </c>
      <c r="BF77" s="60">
        <f t="shared" si="169"/>
        <v>414.34</v>
      </c>
      <c r="BG77" s="60">
        <f t="shared" si="169"/>
        <v>0</v>
      </c>
      <c r="BH77" s="43">
        <v>11.09</v>
      </c>
      <c r="BI77" s="43">
        <v>0</v>
      </c>
      <c r="BJ77" s="43"/>
      <c r="BK77" s="43"/>
      <c r="BL77" s="43">
        <f t="shared" si="180"/>
        <v>2474.9499999999998</v>
      </c>
      <c r="BM77" s="43">
        <f t="shared" si="180"/>
        <v>0</v>
      </c>
      <c r="BN77" s="43">
        <f t="shared" si="187"/>
        <v>2474.9499999999998</v>
      </c>
      <c r="BO77" s="110">
        <v>2318.4299999999998</v>
      </c>
      <c r="BP77" s="93"/>
      <c r="BQ77" s="43">
        <f t="shared" si="188"/>
        <v>156.51999999999998</v>
      </c>
      <c r="BR77" s="43">
        <f t="shared" si="188"/>
        <v>0</v>
      </c>
      <c r="BS77" s="43">
        <f t="shared" si="189"/>
        <v>210.77</v>
      </c>
      <c r="BT77" s="43">
        <f t="shared" si="189"/>
        <v>0</v>
      </c>
      <c r="BU77" s="43">
        <v>100</v>
      </c>
      <c r="BV77" s="43">
        <f t="shared" ref="BV77:BV88" si="222">ROUND(BT77-BR77,2)</f>
        <v>0</v>
      </c>
      <c r="BW77" s="43">
        <v>596</v>
      </c>
      <c r="BX77" s="43"/>
      <c r="BY77" s="43"/>
      <c r="BZ77" s="43"/>
      <c r="CA77" s="43">
        <v>3170.95</v>
      </c>
      <c r="CB77" s="43">
        <v>0</v>
      </c>
      <c r="CC77" s="92">
        <v>3488.05</v>
      </c>
      <c r="CD77" s="92">
        <v>0</v>
      </c>
      <c r="CE77" s="92">
        <v>291</v>
      </c>
      <c r="CF77" s="92">
        <v>0</v>
      </c>
      <c r="CG77" s="92">
        <f t="shared" si="190"/>
        <v>792.74</v>
      </c>
      <c r="CH77" s="92">
        <f t="shared" si="190"/>
        <v>0</v>
      </c>
      <c r="CI77" s="43"/>
      <c r="CJ77" s="43"/>
      <c r="CK77" s="43">
        <v>780</v>
      </c>
      <c r="CL77" s="43">
        <v>0</v>
      </c>
      <c r="CM77" s="43"/>
      <c r="CN77" s="43"/>
      <c r="CO77" s="43">
        <v>3400.38</v>
      </c>
      <c r="CP77" s="43"/>
      <c r="CQ77" s="43">
        <f t="shared" si="191"/>
        <v>3120</v>
      </c>
      <c r="CR77" s="43">
        <f t="shared" si="191"/>
        <v>0</v>
      </c>
      <c r="CS77" s="43">
        <f t="shared" si="192"/>
        <v>3120</v>
      </c>
      <c r="CT77" s="43">
        <f t="shared" si="192"/>
        <v>0</v>
      </c>
      <c r="CU77" s="43">
        <v>3120</v>
      </c>
      <c r="CV77" s="43">
        <v>0</v>
      </c>
      <c r="CW77" s="43">
        <f t="shared" si="193"/>
        <v>780</v>
      </c>
      <c r="CX77" s="43">
        <f t="shared" si="193"/>
        <v>0</v>
      </c>
      <c r="CY77" s="43"/>
      <c r="CZ77" s="43"/>
      <c r="DA77" s="43">
        <f t="shared" si="194"/>
        <v>1851</v>
      </c>
      <c r="DB77" s="43">
        <f t="shared" si="194"/>
        <v>0</v>
      </c>
      <c r="DC77" s="43">
        <v>1799.16</v>
      </c>
      <c r="DD77" s="43">
        <v>0</v>
      </c>
      <c r="DE77" s="43">
        <f t="shared" si="195"/>
        <v>51.839999999999918</v>
      </c>
      <c r="DF77" s="43">
        <f t="shared" si="195"/>
        <v>0</v>
      </c>
      <c r="DG77" s="43">
        <f t="shared" si="221"/>
        <v>780</v>
      </c>
      <c r="DH77" s="43">
        <f t="shared" si="221"/>
        <v>0</v>
      </c>
      <c r="DI77" s="43">
        <f t="shared" si="196"/>
        <v>728.16000000000008</v>
      </c>
      <c r="DJ77" s="43">
        <f>+DH77-DF77</f>
        <v>0</v>
      </c>
      <c r="DK77" s="43"/>
      <c r="DL77" s="43"/>
      <c r="DM77" s="43">
        <f t="shared" si="197"/>
        <v>2579.16</v>
      </c>
      <c r="DN77" s="43">
        <f t="shared" si="197"/>
        <v>0</v>
      </c>
      <c r="DO77" s="94">
        <v>2470.08</v>
      </c>
      <c r="DP77" s="95">
        <v>0</v>
      </c>
      <c r="DQ77" s="60">
        <f t="shared" si="198"/>
        <v>109.08</v>
      </c>
      <c r="DR77" s="60">
        <f t="shared" si="198"/>
        <v>0</v>
      </c>
      <c r="DS77" s="60">
        <f t="shared" si="199"/>
        <v>247.00799999999998</v>
      </c>
      <c r="DT77" s="60">
        <f t="shared" si="199"/>
        <v>0</v>
      </c>
      <c r="DU77" s="60">
        <f t="shared" si="200"/>
        <v>137.928</v>
      </c>
      <c r="DV77" s="60">
        <f t="shared" si="200"/>
        <v>0</v>
      </c>
      <c r="DW77" s="60"/>
      <c r="DX77" s="60"/>
      <c r="DY77" s="60">
        <f t="shared" si="214"/>
        <v>137.93</v>
      </c>
      <c r="DZ77" s="60">
        <f t="shared" si="181"/>
        <v>0</v>
      </c>
      <c r="EA77" s="60"/>
      <c r="EB77" s="60"/>
      <c r="EC77" s="43">
        <f t="shared" si="201"/>
        <v>2717.0899999999997</v>
      </c>
      <c r="ED77" s="43">
        <f t="shared" si="201"/>
        <v>0</v>
      </c>
      <c r="EE77" s="43">
        <v>2713.89</v>
      </c>
      <c r="EF77" s="43">
        <v>0</v>
      </c>
      <c r="EG77" s="43">
        <f t="shared" si="66"/>
        <v>99.88</v>
      </c>
      <c r="EH77" s="43" t="e">
        <f t="shared" si="66"/>
        <v>#DIV/0!</v>
      </c>
      <c r="EI77" s="43">
        <f t="shared" si="202"/>
        <v>3.2</v>
      </c>
      <c r="EJ77" s="43">
        <f t="shared" si="202"/>
        <v>0</v>
      </c>
      <c r="EK77" s="43">
        <f t="shared" si="203"/>
        <v>246.72</v>
      </c>
      <c r="EL77" s="43">
        <f t="shared" si="203"/>
        <v>0</v>
      </c>
      <c r="EM77" s="43">
        <f t="shared" si="204"/>
        <v>243.52</v>
      </c>
      <c r="EN77" s="43">
        <f t="shared" si="204"/>
        <v>0</v>
      </c>
      <c r="EO77" s="43">
        <v>350</v>
      </c>
      <c r="EP77" s="43">
        <v>0</v>
      </c>
      <c r="EQ77" s="5"/>
      <c r="ER77" s="5"/>
      <c r="ES77" s="5"/>
      <c r="ET77" s="5"/>
      <c r="EU77" s="5">
        <f t="shared" si="88"/>
        <v>52.910000000000309</v>
      </c>
      <c r="EV77" s="5">
        <f t="shared" si="88"/>
        <v>0</v>
      </c>
      <c r="EW77" s="5">
        <v>3120</v>
      </c>
      <c r="EX77" s="5">
        <v>0</v>
      </c>
      <c r="EY77" s="5">
        <v>3500</v>
      </c>
      <c r="EZ77" s="5">
        <v>0</v>
      </c>
    </row>
    <row r="78" spans="1:160" ht="18.75" x14ac:dyDescent="0.25">
      <c r="A78" s="37">
        <v>59</v>
      </c>
      <c r="B78" s="37"/>
      <c r="C78" s="91" t="s">
        <v>188</v>
      </c>
      <c r="D78" s="61" t="s">
        <v>215</v>
      </c>
      <c r="E78" s="39"/>
      <c r="F78" s="40">
        <v>0</v>
      </c>
      <c r="G78" s="40">
        <v>0</v>
      </c>
      <c r="H78" s="40">
        <v>0</v>
      </c>
      <c r="I78" s="40">
        <v>0</v>
      </c>
      <c r="J78" s="41">
        <v>0</v>
      </c>
      <c r="K78" s="41">
        <v>0</v>
      </c>
      <c r="L78" s="41">
        <v>0</v>
      </c>
      <c r="M78" s="41">
        <f t="shared" si="148"/>
        <v>0</v>
      </c>
      <c r="N78" s="41">
        <v>0</v>
      </c>
      <c r="O78" s="41">
        <v>0</v>
      </c>
      <c r="P78" s="41">
        <v>0</v>
      </c>
      <c r="Q78" s="41">
        <f t="shared" si="217"/>
        <v>0</v>
      </c>
      <c r="R78" s="41">
        <f t="shared" si="106"/>
        <v>0</v>
      </c>
      <c r="S78" s="41">
        <v>0</v>
      </c>
      <c r="T78" s="92"/>
      <c r="U78" s="92"/>
      <c r="V78" s="40">
        <f t="shared" si="218"/>
        <v>0</v>
      </c>
      <c r="W78" s="40">
        <f t="shared" si="219"/>
        <v>0</v>
      </c>
      <c r="X78" s="43">
        <f t="shared" si="170"/>
        <v>0</v>
      </c>
      <c r="Y78" s="43">
        <f t="shared" si="170"/>
        <v>0</v>
      </c>
      <c r="Z78" s="43"/>
      <c r="AA78" s="43"/>
      <c r="AB78" s="43">
        <f t="shared" si="182"/>
        <v>0</v>
      </c>
      <c r="AC78" s="43">
        <f t="shared" si="183"/>
        <v>0</v>
      </c>
      <c r="AD78" s="43">
        <f t="shared" si="220"/>
        <v>0</v>
      </c>
      <c r="AE78" s="43">
        <f t="shared" si="220"/>
        <v>0</v>
      </c>
      <c r="AF78" s="43">
        <f t="shared" si="184"/>
        <v>0</v>
      </c>
      <c r="AG78" s="43">
        <f t="shared" si="171"/>
        <v>0</v>
      </c>
      <c r="AH78" s="43">
        <f t="shared" si="171"/>
        <v>0</v>
      </c>
      <c r="AI78" s="93">
        <f t="shared" si="172"/>
        <v>0</v>
      </c>
      <c r="AJ78" s="43">
        <f t="shared" si="172"/>
        <v>0</v>
      </c>
      <c r="AK78" s="43"/>
      <c r="AL78" s="43"/>
      <c r="AM78" s="43">
        <f t="shared" si="185"/>
        <v>0</v>
      </c>
      <c r="AN78" s="43">
        <f t="shared" si="186"/>
        <v>0</v>
      </c>
      <c r="AO78" s="43"/>
      <c r="AP78" s="43"/>
      <c r="AQ78" s="43">
        <f t="shared" si="173"/>
        <v>0</v>
      </c>
      <c r="AR78" s="43">
        <f t="shared" si="173"/>
        <v>0</v>
      </c>
      <c r="AS78" s="43"/>
      <c r="AT78" s="43"/>
      <c r="AU78" s="43">
        <f t="shared" si="165"/>
        <v>0</v>
      </c>
      <c r="AV78" s="43">
        <f t="shared" si="165"/>
        <v>0</v>
      </c>
      <c r="AW78" s="43"/>
      <c r="AX78" s="43"/>
      <c r="AY78" s="43">
        <f t="shared" si="166"/>
        <v>0</v>
      </c>
      <c r="AZ78" s="43">
        <f t="shared" si="166"/>
        <v>0</v>
      </c>
      <c r="BA78" s="43">
        <f t="shared" si="167"/>
        <v>0</v>
      </c>
      <c r="BB78" s="60">
        <v>0</v>
      </c>
      <c r="BC78" s="60"/>
      <c r="BD78" s="60">
        <f t="shared" si="168"/>
        <v>0</v>
      </c>
      <c r="BE78" s="60">
        <f t="shared" si="168"/>
        <v>0</v>
      </c>
      <c r="BF78" s="60">
        <f t="shared" si="169"/>
        <v>0</v>
      </c>
      <c r="BG78" s="60">
        <f t="shared" si="169"/>
        <v>0</v>
      </c>
      <c r="BH78" s="43">
        <v>0</v>
      </c>
      <c r="BI78" s="43">
        <v>0</v>
      </c>
      <c r="BJ78" s="43"/>
      <c r="BK78" s="43"/>
      <c r="BL78" s="43">
        <f t="shared" si="180"/>
        <v>0</v>
      </c>
      <c r="BM78" s="43">
        <f t="shared" si="180"/>
        <v>0</v>
      </c>
      <c r="BN78" s="43">
        <f t="shared" si="187"/>
        <v>0</v>
      </c>
      <c r="BO78" s="43">
        <f t="shared" ref="BO78:BP78" si="223">+BJ78+BA78+BL78</f>
        <v>0</v>
      </c>
      <c r="BP78" s="93">
        <f t="shared" si="223"/>
        <v>0</v>
      </c>
      <c r="BQ78" s="43">
        <f t="shared" si="188"/>
        <v>0</v>
      </c>
      <c r="BR78" s="43">
        <f t="shared" si="188"/>
        <v>0</v>
      </c>
      <c r="BS78" s="43">
        <f t="shared" si="189"/>
        <v>0</v>
      </c>
      <c r="BT78" s="43">
        <f t="shared" si="189"/>
        <v>0</v>
      </c>
      <c r="BU78" s="43">
        <f t="shared" si="212"/>
        <v>0</v>
      </c>
      <c r="BV78" s="43">
        <f t="shared" si="222"/>
        <v>0</v>
      </c>
      <c r="BW78" s="43"/>
      <c r="BX78" s="43"/>
      <c r="BY78" s="43"/>
      <c r="BZ78" s="43"/>
      <c r="CA78" s="43">
        <v>0</v>
      </c>
      <c r="CB78" s="43">
        <v>0</v>
      </c>
      <c r="CC78" s="92">
        <v>0</v>
      </c>
      <c r="CD78" s="92">
        <v>0</v>
      </c>
      <c r="CE78" s="92">
        <v>0</v>
      </c>
      <c r="CF78" s="92">
        <v>0</v>
      </c>
      <c r="CG78" s="92">
        <f t="shared" si="190"/>
        <v>0</v>
      </c>
      <c r="CH78" s="92">
        <f t="shared" si="190"/>
        <v>0</v>
      </c>
      <c r="CI78" s="43"/>
      <c r="CJ78" s="43"/>
      <c r="CK78" s="43">
        <v>0</v>
      </c>
      <c r="CL78" s="43">
        <v>0</v>
      </c>
      <c r="CM78" s="43"/>
      <c r="CN78" s="43"/>
      <c r="CO78" s="43"/>
      <c r="CP78" s="43"/>
      <c r="CQ78" s="43">
        <f t="shared" si="191"/>
        <v>0</v>
      </c>
      <c r="CR78" s="43">
        <f t="shared" si="191"/>
        <v>0</v>
      </c>
      <c r="CS78" s="43">
        <f t="shared" si="192"/>
        <v>0</v>
      </c>
      <c r="CT78" s="43">
        <f t="shared" si="192"/>
        <v>0</v>
      </c>
      <c r="CU78" s="43">
        <v>0</v>
      </c>
      <c r="CV78" s="43">
        <v>0</v>
      </c>
      <c r="CW78" s="43">
        <f t="shared" si="193"/>
        <v>0</v>
      </c>
      <c r="CX78" s="43">
        <f t="shared" si="193"/>
        <v>0</v>
      </c>
      <c r="CY78" s="43"/>
      <c r="CZ78" s="43"/>
      <c r="DA78" s="43">
        <f t="shared" si="194"/>
        <v>0</v>
      </c>
      <c r="DB78" s="43">
        <f t="shared" si="194"/>
        <v>0</v>
      </c>
      <c r="DC78" s="43">
        <v>0</v>
      </c>
      <c r="DD78" s="43">
        <v>0</v>
      </c>
      <c r="DE78" s="43">
        <f t="shared" si="195"/>
        <v>0</v>
      </c>
      <c r="DF78" s="43">
        <f t="shared" si="195"/>
        <v>0</v>
      </c>
      <c r="DG78" s="43">
        <f t="shared" si="221"/>
        <v>0</v>
      </c>
      <c r="DH78" s="43">
        <f t="shared" si="221"/>
        <v>0</v>
      </c>
      <c r="DI78" s="43">
        <f t="shared" si="196"/>
        <v>0</v>
      </c>
      <c r="DJ78" s="43">
        <f>+DH78-DF78</f>
        <v>0</v>
      </c>
      <c r="DK78" s="43"/>
      <c r="DL78" s="43"/>
      <c r="DM78" s="43">
        <f t="shared" si="197"/>
        <v>0</v>
      </c>
      <c r="DN78" s="43">
        <f t="shared" si="197"/>
        <v>0</v>
      </c>
      <c r="DO78" s="94">
        <v>0</v>
      </c>
      <c r="DP78" s="95">
        <v>0</v>
      </c>
      <c r="DQ78" s="60">
        <f t="shared" si="198"/>
        <v>0</v>
      </c>
      <c r="DR78" s="60">
        <f t="shared" si="198"/>
        <v>0</v>
      </c>
      <c r="DS78" s="60">
        <f t="shared" si="199"/>
        <v>0</v>
      </c>
      <c r="DT78" s="60">
        <f t="shared" si="199"/>
        <v>0</v>
      </c>
      <c r="DU78" s="60">
        <f t="shared" si="200"/>
        <v>0</v>
      </c>
      <c r="DV78" s="60">
        <f t="shared" si="200"/>
        <v>0</v>
      </c>
      <c r="DW78" s="60"/>
      <c r="DX78" s="60"/>
      <c r="DY78" s="60">
        <f t="shared" si="214"/>
        <v>0</v>
      </c>
      <c r="DZ78" s="60">
        <f t="shared" si="181"/>
        <v>0</v>
      </c>
      <c r="EA78" s="60"/>
      <c r="EB78" s="60"/>
      <c r="EC78" s="43">
        <f t="shared" si="201"/>
        <v>0</v>
      </c>
      <c r="ED78" s="43">
        <f t="shared" si="201"/>
        <v>0</v>
      </c>
      <c r="EE78" s="43">
        <v>0</v>
      </c>
      <c r="EF78" s="43">
        <v>0</v>
      </c>
      <c r="EG78" s="43" t="e">
        <f t="shared" si="66"/>
        <v>#DIV/0!</v>
      </c>
      <c r="EH78" s="43" t="e">
        <f t="shared" si="66"/>
        <v>#DIV/0!</v>
      </c>
      <c r="EI78" s="43">
        <f t="shared" si="202"/>
        <v>0</v>
      </c>
      <c r="EJ78" s="43">
        <f t="shared" si="202"/>
        <v>0</v>
      </c>
      <c r="EK78" s="43">
        <f t="shared" si="203"/>
        <v>0</v>
      </c>
      <c r="EL78" s="43">
        <f t="shared" si="203"/>
        <v>0</v>
      </c>
      <c r="EM78" s="43">
        <f t="shared" si="204"/>
        <v>0</v>
      </c>
      <c r="EN78" s="43">
        <f t="shared" si="204"/>
        <v>0</v>
      </c>
      <c r="EO78" s="43">
        <v>0</v>
      </c>
      <c r="EP78" s="43">
        <v>0</v>
      </c>
      <c r="EQ78" s="5"/>
      <c r="ER78" s="5"/>
      <c r="ES78" s="5"/>
      <c r="ET78" s="5"/>
      <c r="EU78" s="5">
        <f t="shared" si="88"/>
        <v>0</v>
      </c>
      <c r="EV78" s="5">
        <f t="shared" si="88"/>
        <v>0</v>
      </c>
    </row>
    <row r="79" spans="1:160" ht="18.75" x14ac:dyDescent="0.25">
      <c r="A79" s="68"/>
      <c r="B79" s="68" t="s">
        <v>216</v>
      </c>
      <c r="C79" s="91" t="s">
        <v>188</v>
      </c>
      <c r="D79" s="67" t="s">
        <v>213</v>
      </c>
      <c r="E79" s="69" t="s">
        <v>217</v>
      </c>
      <c r="F79" s="70">
        <v>5479.02</v>
      </c>
      <c r="G79" s="70">
        <v>284.73999999999995</v>
      </c>
      <c r="H79" s="70">
        <v>5502.85</v>
      </c>
      <c r="I79" s="70">
        <v>334.73999999999995</v>
      </c>
      <c r="J79" s="71">
        <f t="shared" ref="J79:AA79" si="224">+J76+J77+J78</f>
        <v>6232.0300000000007</v>
      </c>
      <c r="K79" s="71">
        <f t="shared" si="224"/>
        <v>265</v>
      </c>
      <c r="L79" s="71">
        <f t="shared" si="224"/>
        <v>0</v>
      </c>
      <c r="M79" s="71">
        <f t="shared" si="224"/>
        <v>6497.0300000000007</v>
      </c>
      <c r="N79" s="71">
        <f t="shared" si="224"/>
        <v>363.97</v>
      </c>
      <c r="O79" s="71">
        <f t="shared" si="224"/>
        <v>0</v>
      </c>
      <c r="P79" s="71">
        <f t="shared" si="224"/>
        <v>0</v>
      </c>
      <c r="Q79" s="71">
        <f t="shared" si="224"/>
        <v>363.97</v>
      </c>
      <c r="R79" s="71">
        <f t="shared" si="224"/>
        <v>6861</v>
      </c>
      <c r="S79" s="71">
        <f t="shared" si="224"/>
        <v>300</v>
      </c>
      <c r="T79" s="71">
        <f t="shared" si="224"/>
        <v>0</v>
      </c>
      <c r="U79" s="71">
        <f t="shared" si="224"/>
        <v>0</v>
      </c>
      <c r="V79" s="71">
        <f t="shared" si="224"/>
        <v>5823.67</v>
      </c>
      <c r="W79" s="71">
        <f t="shared" si="224"/>
        <v>345.69</v>
      </c>
      <c r="X79" s="71">
        <f t="shared" si="224"/>
        <v>1037.3300000000004</v>
      </c>
      <c r="Y79" s="71">
        <f t="shared" si="224"/>
        <v>-45.69</v>
      </c>
      <c r="Z79" s="71">
        <f t="shared" si="224"/>
        <v>5573.67</v>
      </c>
      <c r="AA79" s="71">
        <f t="shared" si="224"/>
        <v>250</v>
      </c>
      <c r="AB79" s="70">
        <f t="shared" si="182"/>
        <v>5823.67</v>
      </c>
      <c r="AC79" s="43">
        <f t="shared" si="183"/>
        <v>0</v>
      </c>
      <c r="AD79" s="70">
        <f t="shared" ref="AD79:CP79" si="225">+AD76+AD77+AD78</f>
        <v>5823.67</v>
      </c>
      <c r="AE79" s="70">
        <f t="shared" si="225"/>
        <v>300</v>
      </c>
      <c r="AF79" s="70">
        <f t="shared" si="225"/>
        <v>270.66000000000003</v>
      </c>
      <c r="AG79" s="70">
        <f t="shared" si="225"/>
        <v>1455</v>
      </c>
      <c r="AH79" s="70">
        <f t="shared" si="225"/>
        <v>75</v>
      </c>
      <c r="AI79" s="96">
        <f t="shared" si="225"/>
        <v>485</v>
      </c>
      <c r="AJ79" s="70">
        <f t="shared" si="225"/>
        <v>25</v>
      </c>
      <c r="AK79" s="70">
        <f t="shared" si="225"/>
        <v>0</v>
      </c>
      <c r="AL79" s="70">
        <f t="shared" si="225"/>
        <v>0</v>
      </c>
      <c r="AM79" s="70">
        <f t="shared" si="225"/>
        <v>1455.92</v>
      </c>
      <c r="AN79" s="70">
        <f t="shared" si="225"/>
        <v>73.05</v>
      </c>
      <c r="AO79" s="70">
        <f t="shared" si="225"/>
        <v>0</v>
      </c>
      <c r="AP79" s="70">
        <f t="shared" si="225"/>
        <v>0</v>
      </c>
      <c r="AQ79" s="70">
        <f t="shared" si="225"/>
        <v>2910.92</v>
      </c>
      <c r="AR79" s="70">
        <f t="shared" si="225"/>
        <v>148.05000000000001</v>
      </c>
      <c r="AS79" s="70">
        <f t="shared" si="225"/>
        <v>0</v>
      </c>
      <c r="AT79" s="70">
        <f t="shared" si="225"/>
        <v>0</v>
      </c>
      <c r="AU79" s="70">
        <f t="shared" si="225"/>
        <v>1455.92</v>
      </c>
      <c r="AV79" s="70">
        <f t="shared" si="225"/>
        <v>75</v>
      </c>
      <c r="AW79" s="70">
        <f t="shared" si="225"/>
        <v>0</v>
      </c>
      <c r="AX79" s="70">
        <f t="shared" si="225"/>
        <v>0</v>
      </c>
      <c r="AY79" s="70">
        <f t="shared" si="225"/>
        <v>4851.84</v>
      </c>
      <c r="AZ79" s="70">
        <f t="shared" si="225"/>
        <v>248.05</v>
      </c>
      <c r="BA79" s="70">
        <f t="shared" si="225"/>
        <v>5099.8899999999994</v>
      </c>
      <c r="BB79" s="70">
        <f t="shared" si="225"/>
        <v>4333.82</v>
      </c>
      <c r="BC79" s="70">
        <f t="shared" si="225"/>
        <v>283.75</v>
      </c>
      <c r="BD79" s="70">
        <f t="shared" si="225"/>
        <v>518.01999999999953</v>
      </c>
      <c r="BE79" s="70">
        <f t="shared" si="225"/>
        <v>-35.699999999999989</v>
      </c>
      <c r="BF79" s="70">
        <f t="shared" si="225"/>
        <v>866.77</v>
      </c>
      <c r="BG79" s="96">
        <f t="shared" si="225"/>
        <v>56.75</v>
      </c>
      <c r="BH79" s="96">
        <f t="shared" si="225"/>
        <v>174.38</v>
      </c>
      <c r="BI79" s="96">
        <f t="shared" si="225"/>
        <v>32.5</v>
      </c>
      <c r="BJ79" s="96">
        <f t="shared" si="225"/>
        <v>0</v>
      </c>
      <c r="BK79" s="96">
        <f t="shared" si="225"/>
        <v>0</v>
      </c>
      <c r="BL79" s="96">
        <f t="shared" si="225"/>
        <v>5026.2199999999993</v>
      </c>
      <c r="BM79" s="96">
        <f t="shared" si="225"/>
        <v>280.55</v>
      </c>
      <c r="BN79" s="96">
        <f t="shared" si="225"/>
        <v>5306.77</v>
      </c>
      <c r="BO79" s="96">
        <f t="shared" si="225"/>
        <v>4836.08</v>
      </c>
      <c r="BP79" s="96">
        <f t="shared" si="225"/>
        <v>312.14</v>
      </c>
      <c r="BQ79" s="70">
        <f t="shared" si="225"/>
        <v>190.13999999999987</v>
      </c>
      <c r="BR79" s="70">
        <f t="shared" si="225"/>
        <v>-31.589999999999975</v>
      </c>
      <c r="BS79" s="70">
        <f t="shared" si="225"/>
        <v>439.65</v>
      </c>
      <c r="BT79" s="70">
        <f t="shared" si="225"/>
        <v>28.38</v>
      </c>
      <c r="BU79" s="70">
        <f t="shared" si="225"/>
        <v>295.2600000000001</v>
      </c>
      <c r="BV79" s="70">
        <f t="shared" si="225"/>
        <v>39.97</v>
      </c>
      <c r="BW79" s="70">
        <f t="shared" si="225"/>
        <v>632.79</v>
      </c>
      <c r="BX79" s="70">
        <f t="shared" si="225"/>
        <v>27.48</v>
      </c>
      <c r="BY79" s="70">
        <f t="shared" si="225"/>
        <v>0</v>
      </c>
      <c r="BZ79" s="70">
        <f t="shared" si="225"/>
        <v>0</v>
      </c>
      <c r="CA79" s="70">
        <f t="shared" si="225"/>
        <v>5954.27</v>
      </c>
      <c r="CB79" s="70">
        <f t="shared" si="225"/>
        <v>348</v>
      </c>
      <c r="CC79" s="70">
        <f t="shared" si="225"/>
        <v>6549.7000000000007</v>
      </c>
      <c r="CD79" s="70">
        <f t="shared" si="225"/>
        <v>400.2</v>
      </c>
      <c r="CE79" s="70">
        <f t="shared" si="225"/>
        <v>546</v>
      </c>
      <c r="CF79" s="70">
        <f t="shared" si="225"/>
        <v>33</v>
      </c>
      <c r="CG79" s="70">
        <f t="shared" si="225"/>
        <v>1488.5700000000002</v>
      </c>
      <c r="CH79" s="96">
        <f t="shared" si="225"/>
        <v>87</v>
      </c>
      <c r="CI79" s="70">
        <f t="shared" si="225"/>
        <v>0</v>
      </c>
      <c r="CJ79" s="70">
        <f t="shared" si="225"/>
        <v>0</v>
      </c>
      <c r="CK79" s="70">
        <f t="shared" si="225"/>
        <v>1540</v>
      </c>
      <c r="CL79" s="70">
        <f t="shared" si="225"/>
        <v>75</v>
      </c>
      <c r="CM79" s="70">
        <f t="shared" si="225"/>
        <v>0</v>
      </c>
      <c r="CN79" s="70">
        <f t="shared" si="225"/>
        <v>0</v>
      </c>
      <c r="CO79" s="70">
        <f t="shared" si="225"/>
        <v>6550.38</v>
      </c>
      <c r="CP79" s="70">
        <f t="shared" si="225"/>
        <v>450</v>
      </c>
      <c r="CQ79" s="70">
        <f t="shared" ref="CQ79:FB79" si="226">+CQ76+CQ77+CQ78</f>
        <v>6160</v>
      </c>
      <c r="CR79" s="70">
        <f t="shared" si="226"/>
        <v>300</v>
      </c>
      <c r="CS79" s="70">
        <f t="shared" si="226"/>
        <v>6160</v>
      </c>
      <c r="CT79" s="70">
        <f t="shared" si="226"/>
        <v>300</v>
      </c>
      <c r="CU79" s="70">
        <f t="shared" si="226"/>
        <v>6160</v>
      </c>
      <c r="CV79" s="70">
        <f t="shared" si="226"/>
        <v>300</v>
      </c>
      <c r="CW79" s="70">
        <f t="shared" si="226"/>
        <v>1540</v>
      </c>
      <c r="CX79" s="70">
        <f t="shared" si="226"/>
        <v>15</v>
      </c>
      <c r="CY79" s="70">
        <f t="shared" si="226"/>
        <v>200</v>
      </c>
      <c r="CZ79" s="70">
        <f t="shared" si="226"/>
        <v>0</v>
      </c>
      <c r="DA79" s="70">
        <f t="shared" si="226"/>
        <v>3826</v>
      </c>
      <c r="DB79" s="70">
        <f t="shared" si="226"/>
        <v>123</v>
      </c>
      <c r="DC79" s="70">
        <f t="shared" si="226"/>
        <v>3691.8900000000003</v>
      </c>
      <c r="DD79" s="70">
        <f t="shared" si="226"/>
        <v>57.92</v>
      </c>
      <c r="DE79" s="70">
        <f t="shared" si="226"/>
        <v>134.1099999999999</v>
      </c>
      <c r="DF79" s="70">
        <f t="shared" si="226"/>
        <v>65.08</v>
      </c>
      <c r="DG79" s="70">
        <f t="shared" si="226"/>
        <v>1540</v>
      </c>
      <c r="DH79" s="70">
        <f t="shared" si="226"/>
        <v>75</v>
      </c>
      <c r="DI79" s="70">
        <f t="shared" si="226"/>
        <v>1405.89</v>
      </c>
      <c r="DJ79" s="70">
        <f t="shared" si="226"/>
        <v>9.9200000000000017</v>
      </c>
      <c r="DK79" s="70">
        <f t="shared" si="226"/>
        <v>150</v>
      </c>
      <c r="DL79" s="70">
        <f t="shared" si="226"/>
        <v>0</v>
      </c>
      <c r="DM79" s="70">
        <f t="shared" si="226"/>
        <v>5381.8899999999994</v>
      </c>
      <c r="DN79" s="70">
        <f t="shared" si="226"/>
        <v>132.92000000000002</v>
      </c>
      <c r="DO79" s="97">
        <f t="shared" si="226"/>
        <v>5257.91</v>
      </c>
      <c r="DP79" s="98">
        <f t="shared" si="226"/>
        <v>132.06</v>
      </c>
      <c r="DQ79" s="98">
        <f t="shared" si="226"/>
        <v>123.98</v>
      </c>
      <c r="DR79" s="98">
        <f t="shared" si="226"/>
        <v>0.86</v>
      </c>
      <c r="DS79" s="98">
        <f t="shared" si="226"/>
        <v>525.79099999999994</v>
      </c>
      <c r="DT79" s="98">
        <f t="shared" si="226"/>
        <v>13.206</v>
      </c>
      <c r="DU79" s="98">
        <f t="shared" si="226"/>
        <v>401.81100000000004</v>
      </c>
      <c r="DV79" s="98">
        <f t="shared" si="226"/>
        <v>12.346</v>
      </c>
      <c r="DW79" s="98">
        <f t="shared" si="226"/>
        <v>50</v>
      </c>
      <c r="DX79" s="98">
        <f t="shared" si="226"/>
        <v>0</v>
      </c>
      <c r="DY79" s="98">
        <f t="shared" si="226"/>
        <v>451.81</v>
      </c>
      <c r="DZ79" s="98">
        <f t="shared" si="226"/>
        <v>12.35</v>
      </c>
      <c r="EA79" s="98">
        <f t="shared" si="226"/>
        <v>0</v>
      </c>
      <c r="EB79" s="134">
        <f t="shared" si="226"/>
        <v>0</v>
      </c>
      <c r="EC79" s="140">
        <f t="shared" si="226"/>
        <v>5833.7</v>
      </c>
      <c r="ED79" s="140">
        <f t="shared" si="226"/>
        <v>145.27000000000001</v>
      </c>
      <c r="EE79" s="140">
        <f t="shared" si="226"/>
        <v>5761.1299999999992</v>
      </c>
      <c r="EF79" s="140">
        <f t="shared" si="226"/>
        <v>138.31</v>
      </c>
      <c r="EG79" s="140" t="e">
        <f t="shared" si="226"/>
        <v>#DIV/0!</v>
      </c>
      <c r="EH79" s="140" t="e">
        <f t="shared" si="226"/>
        <v>#DIV/0!</v>
      </c>
      <c r="EI79" s="140">
        <f t="shared" si="226"/>
        <v>72.570000000000007</v>
      </c>
      <c r="EJ79" s="140">
        <f t="shared" si="226"/>
        <v>6.96</v>
      </c>
      <c r="EK79" s="140">
        <f t="shared" si="226"/>
        <v>523.74</v>
      </c>
      <c r="EL79" s="140">
        <f t="shared" si="226"/>
        <v>12.57</v>
      </c>
      <c r="EM79" s="140">
        <f t="shared" si="226"/>
        <v>451.16999999999996</v>
      </c>
      <c r="EN79" s="140">
        <f t="shared" si="226"/>
        <v>5.61</v>
      </c>
      <c r="EO79" s="140">
        <f t="shared" si="226"/>
        <v>620</v>
      </c>
      <c r="EP79" s="140">
        <f t="shared" si="226"/>
        <v>100</v>
      </c>
      <c r="EQ79" s="136">
        <f t="shared" si="226"/>
        <v>0</v>
      </c>
      <c r="ER79" s="47">
        <f t="shared" si="226"/>
        <v>0</v>
      </c>
      <c r="ES79" s="47">
        <f t="shared" si="226"/>
        <v>0</v>
      </c>
      <c r="ET79" s="47">
        <f t="shared" si="226"/>
        <v>0</v>
      </c>
      <c r="EU79" s="5">
        <f t="shared" si="88"/>
        <v>27.470000000000255</v>
      </c>
      <c r="EV79" s="5">
        <f t="shared" si="88"/>
        <v>104.72999999999999</v>
      </c>
      <c r="EW79" s="46">
        <f t="shared" si="226"/>
        <v>6481.17</v>
      </c>
      <c r="EX79" s="46">
        <f t="shared" si="226"/>
        <v>350</v>
      </c>
      <c r="EY79" s="46">
        <f t="shared" si="226"/>
        <v>6844</v>
      </c>
      <c r="EZ79" s="46">
        <f t="shared" si="226"/>
        <v>350</v>
      </c>
      <c r="FA79" s="46">
        <f t="shared" si="226"/>
        <v>0</v>
      </c>
      <c r="FB79" s="46">
        <f t="shared" si="226"/>
        <v>0</v>
      </c>
      <c r="FC79" s="46">
        <f t="shared" ref="FC79:FD79" si="227">+FC76+FC77+FC78</f>
        <v>0</v>
      </c>
      <c r="FD79" s="46">
        <f t="shared" si="227"/>
        <v>0</v>
      </c>
    </row>
    <row r="80" spans="1:160" ht="18.75" x14ac:dyDescent="0.25">
      <c r="A80" s="37">
        <v>60</v>
      </c>
      <c r="B80" s="37"/>
      <c r="C80" s="91" t="s">
        <v>218</v>
      </c>
      <c r="D80" s="38" t="s">
        <v>219</v>
      </c>
      <c r="E80" s="39"/>
      <c r="F80" s="40">
        <v>1931.0300000000002</v>
      </c>
      <c r="G80" s="40">
        <v>206.2</v>
      </c>
      <c r="H80" s="40">
        <v>1956.0000000000002</v>
      </c>
      <c r="I80" s="40">
        <v>206.2</v>
      </c>
      <c r="J80" s="41">
        <v>2300.6</v>
      </c>
      <c r="K80" s="41">
        <v>0</v>
      </c>
      <c r="L80" s="41">
        <v>0</v>
      </c>
      <c r="M80" s="41">
        <f t="shared" si="148"/>
        <v>2300.6</v>
      </c>
      <c r="N80" s="41">
        <v>0</v>
      </c>
      <c r="O80" s="41">
        <v>0</v>
      </c>
      <c r="P80" s="41">
        <v>0</v>
      </c>
      <c r="Q80" s="41">
        <f t="shared" ref="Q80:Q84" si="228">N80+O80+P80</f>
        <v>0</v>
      </c>
      <c r="R80" s="41">
        <f t="shared" si="106"/>
        <v>2300.6</v>
      </c>
      <c r="S80" s="41">
        <v>180</v>
      </c>
      <c r="T80" s="92"/>
      <c r="U80" s="92"/>
      <c r="V80" s="40">
        <f t="shared" ref="V80:V81" si="229">ROUND(H80*1.0583,2)</f>
        <v>2070.0300000000002</v>
      </c>
      <c r="W80" s="40">
        <f t="shared" ref="W80:W81" si="230">ROUND(I80*1.0327,2)</f>
        <v>212.94</v>
      </c>
      <c r="X80" s="43">
        <f t="shared" si="170"/>
        <v>230.56999999999971</v>
      </c>
      <c r="Y80" s="43">
        <f t="shared" si="170"/>
        <v>-32.94</v>
      </c>
      <c r="Z80" s="43">
        <v>2070.0300000000002</v>
      </c>
      <c r="AA80" s="43"/>
      <c r="AB80" s="43">
        <f t="shared" si="182"/>
        <v>2070.0300000000002</v>
      </c>
      <c r="AC80" s="43">
        <f t="shared" si="183"/>
        <v>0</v>
      </c>
      <c r="AD80" s="43">
        <f t="shared" ref="AD80:AE81" si="231">IF(X80&gt;0,V80,R80)</f>
        <v>2070.0300000000002</v>
      </c>
      <c r="AE80" s="43">
        <f t="shared" si="231"/>
        <v>180</v>
      </c>
      <c r="AF80" s="43">
        <f t="shared" si="184"/>
        <v>162.4</v>
      </c>
      <c r="AG80" s="43">
        <f t="shared" si="171"/>
        <v>518</v>
      </c>
      <c r="AH80" s="43">
        <f t="shared" si="171"/>
        <v>45</v>
      </c>
      <c r="AI80" s="93">
        <f t="shared" si="172"/>
        <v>173</v>
      </c>
      <c r="AJ80" s="43">
        <f t="shared" si="172"/>
        <v>15</v>
      </c>
      <c r="AK80" s="43"/>
      <c r="AL80" s="43"/>
      <c r="AM80" s="43">
        <f t="shared" si="185"/>
        <v>517.51</v>
      </c>
      <c r="AN80" s="43">
        <f t="shared" si="186"/>
        <v>43.83</v>
      </c>
      <c r="AO80" s="43"/>
      <c r="AP80" s="43"/>
      <c r="AQ80" s="43">
        <f t="shared" si="173"/>
        <v>1035.51</v>
      </c>
      <c r="AR80" s="43">
        <f t="shared" si="173"/>
        <v>88.83</v>
      </c>
      <c r="AS80" s="43"/>
      <c r="AT80" s="43">
        <v>45</v>
      </c>
      <c r="AU80" s="43">
        <f t="shared" si="165"/>
        <v>517.51</v>
      </c>
      <c r="AV80" s="43">
        <f>ROUND(AE80*25%,2)-13.83</f>
        <v>31.17</v>
      </c>
      <c r="AW80" s="43"/>
      <c r="AX80" s="43"/>
      <c r="AY80" s="43">
        <f t="shared" si="166"/>
        <v>1726.02</v>
      </c>
      <c r="AZ80" s="43">
        <f t="shared" si="166"/>
        <v>180</v>
      </c>
      <c r="BA80" s="43">
        <f t="shared" si="167"/>
        <v>1906.02</v>
      </c>
      <c r="BB80" s="60">
        <v>1777.57</v>
      </c>
      <c r="BC80" s="60">
        <v>165.47</v>
      </c>
      <c r="BD80" s="60">
        <f t="shared" si="168"/>
        <v>-51.549999999999955</v>
      </c>
      <c r="BE80" s="60">
        <f t="shared" si="168"/>
        <v>14.530000000000001</v>
      </c>
      <c r="BF80" s="60">
        <f t="shared" si="169"/>
        <v>355.51</v>
      </c>
      <c r="BG80" s="60">
        <f t="shared" si="169"/>
        <v>33.090000000000003</v>
      </c>
      <c r="BH80" s="43">
        <v>172.03</v>
      </c>
      <c r="BI80" s="43">
        <v>9.2799999999999994</v>
      </c>
      <c r="BJ80" s="43"/>
      <c r="BK80" s="43"/>
      <c r="BL80" s="43">
        <f t="shared" si="180"/>
        <v>1898.05</v>
      </c>
      <c r="BM80" s="43">
        <f t="shared" si="180"/>
        <v>189.28</v>
      </c>
      <c r="BN80" s="43">
        <f t="shared" si="187"/>
        <v>2087.33</v>
      </c>
      <c r="BO80" s="43">
        <v>1963.45</v>
      </c>
      <c r="BP80" s="93">
        <v>185.21</v>
      </c>
      <c r="BQ80" s="43">
        <f t="shared" si="188"/>
        <v>-65.400000000000091</v>
      </c>
      <c r="BR80" s="43">
        <f t="shared" si="188"/>
        <v>4.0699999999999932</v>
      </c>
      <c r="BS80" s="43">
        <f t="shared" si="189"/>
        <v>178.5</v>
      </c>
      <c r="BT80" s="43">
        <f t="shared" si="189"/>
        <v>16.84</v>
      </c>
      <c r="BU80" s="43">
        <f t="shared" si="212"/>
        <v>243.90000000000009</v>
      </c>
      <c r="BV80" s="43">
        <v>60</v>
      </c>
      <c r="BW80" s="43">
        <v>18.05</v>
      </c>
      <c r="BX80" s="43">
        <f>10.7+0.02</f>
        <v>10.719999999999999</v>
      </c>
      <c r="BY80" s="43"/>
      <c r="BZ80" s="43"/>
      <c r="CA80" s="43">
        <v>2160</v>
      </c>
      <c r="CB80" s="43">
        <v>260</v>
      </c>
      <c r="CC80" s="92">
        <v>2376</v>
      </c>
      <c r="CD80" s="92">
        <v>299</v>
      </c>
      <c r="CE80" s="92">
        <v>198</v>
      </c>
      <c r="CF80" s="92">
        <v>25</v>
      </c>
      <c r="CG80" s="92">
        <f t="shared" si="190"/>
        <v>540</v>
      </c>
      <c r="CH80" s="92">
        <f t="shared" si="190"/>
        <v>65</v>
      </c>
      <c r="CI80" s="43"/>
      <c r="CJ80" s="43"/>
      <c r="CK80" s="43">
        <v>595</v>
      </c>
      <c r="CL80" s="72">
        <f>182-82-20</f>
        <v>80</v>
      </c>
      <c r="CM80" s="72"/>
      <c r="CN80" s="72">
        <v>65.05</v>
      </c>
      <c r="CO80" s="43">
        <v>2380</v>
      </c>
      <c r="CP80" s="43">
        <v>385</v>
      </c>
      <c r="CQ80" s="43">
        <f t="shared" si="191"/>
        <v>2380</v>
      </c>
      <c r="CR80" s="43">
        <f t="shared" si="191"/>
        <v>320</v>
      </c>
      <c r="CS80" s="43">
        <f t="shared" si="192"/>
        <v>2380</v>
      </c>
      <c r="CT80" s="43">
        <f t="shared" si="192"/>
        <v>320</v>
      </c>
      <c r="CU80" s="43">
        <v>2380</v>
      </c>
      <c r="CV80" s="43">
        <v>350</v>
      </c>
      <c r="CW80" s="43">
        <f t="shared" si="193"/>
        <v>595</v>
      </c>
      <c r="CX80" s="43">
        <f>ROUND(CV80*25%,2)-9</f>
        <v>78.5</v>
      </c>
      <c r="CY80" s="43"/>
      <c r="CZ80" s="43"/>
      <c r="DA80" s="43">
        <f t="shared" si="194"/>
        <v>1388</v>
      </c>
      <c r="DB80" s="43">
        <f t="shared" si="194"/>
        <v>248.55</v>
      </c>
      <c r="DC80" s="43">
        <v>1308.48</v>
      </c>
      <c r="DD80" s="43">
        <v>154.03</v>
      </c>
      <c r="DE80" s="43">
        <f t="shared" si="195"/>
        <v>79.519999999999982</v>
      </c>
      <c r="DF80" s="43">
        <f t="shared" si="195"/>
        <v>94.52000000000001</v>
      </c>
      <c r="DG80" s="43">
        <f>ROUND(0.25*(MIN(CU80,EW80)),2)</f>
        <v>561.25</v>
      </c>
      <c r="DH80" s="43">
        <f>ROUND(0.25*(MIN(CV80,EX80)),2)</f>
        <v>87.5</v>
      </c>
      <c r="DI80" s="43">
        <f t="shared" si="196"/>
        <v>481.73</v>
      </c>
      <c r="DJ80" s="43">
        <f>+DH80-DF80+7.02</f>
        <v>-1.0658141036401503E-14</v>
      </c>
      <c r="DK80" s="43">
        <v>50</v>
      </c>
      <c r="DL80" s="43">
        <v>100</v>
      </c>
      <c r="DM80" s="43">
        <f t="shared" si="197"/>
        <v>1919.73</v>
      </c>
      <c r="DN80" s="43">
        <f t="shared" si="197"/>
        <v>348.55</v>
      </c>
      <c r="DO80" s="94">
        <v>1876.85</v>
      </c>
      <c r="DP80" s="95">
        <v>295.77999999999997</v>
      </c>
      <c r="DQ80" s="60">
        <f t="shared" si="198"/>
        <v>42.88</v>
      </c>
      <c r="DR80" s="60">
        <f t="shared" si="198"/>
        <v>52.77</v>
      </c>
      <c r="DS80" s="60">
        <f t="shared" si="199"/>
        <v>187.685</v>
      </c>
      <c r="DT80" s="60">
        <f t="shared" si="199"/>
        <v>29.577999999999996</v>
      </c>
      <c r="DU80" s="60">
        <f t="shared" si="200"/>
        <v>144.80500000000001</v>
      </c>
      <c r="DV80" s="60">
        <f t="shared" si="200"/>
        <v>-23.192000000000007</v>
      </c>
      <c r="DW80" s="60"/>
      <c r="DX80" s="60"/>
      <c r="DY80" s="60">
        <f t="shared" si="214"/>
        <v>144.81</v>
      </c>
      <c r="DZ80" s="60">
        <v>0</v>
      </c>
      <c r="EA80" s="60"/>
      <c r="EB80" s="60"/>
      <c r="EC80" s="43">
        <f t="shared" si="201"/>
        <v>2064.54</v>
      </c>
      <c r="ED80" s="43">
        <f t="shared" si="201"/>
        <v>348.55</v>
      </c>
      <c r="EE80" s="43">
        <v>2066.65</v>
      </c>
      <c r="EF80" s="43">
        <v>337.88</v>
      </c>
      <c r="EG80" s="43">
        <f t="shared" si="66"/>
        <v>100.1</v>
      </c>
      <c r="EH80" s="43">
        <f t="shared" si="66"/>
        <v>96.94</v>
      </c>
      <c r="EI80" s="43">
        <f t="shared" si="202"/>
        <v>-2.11</v>
      </c>
      <c r="EJ80" s="43">
        <f t="shared" si="202"/>
        <v>10.67</v>
      </c>
      <c r="EK80" s="43">
        <f t="shared" si="203"/>
        <v>187.88</v>
      </c>
      <c r="EL80" s="43">
        <f t="shared" si="203"/>
        <v>30.72</v>
      </c>
      <c r="EM80" s="43">
        <f t="shared" si="204"/>
        <v>189.99</v>
      </c>
      <c r="EN80" s="43">
        <f t="shared" si="204"/>
        <v>20.049999999999997</v>
      </c>
      <c r="EO80" s="43">
        <v>193.35</v>
      </c>
      <c r="EP80" s="43">
        <v>62.12</v>
      </c>
      <c r="EQ80" s="5"/>
      <c r="ER80" s="5"/>
      <c r="ES80" s="5"/>
      <c r="ET80" s="5"/>
      <c r="EU80" s="5">
        <f t="shared" si="88"/>
        <v>-12.889999999999958</v>
      </c>
      <c r="EV80" s="5">
        <f t="shared" si="88"/>
        <v>-10.670000000000009</v>
      </c>
      <c r="EW80" s="5">
        <v>2245</v>
      </c>
      <c r="EX80" s="5">
        <v>400</v>
      </c>
      <c r="EY80" s="5">
        <v>2480</v>
      </c>
      <c r="EZ80" s="5">
        <v>160</v>
      </c>
    </row>
    <row r="81" spans="1:162" ht="18.75" x14ac:dyDescent="0.25">
      <c r="A81" s="37">
        <v>61</v>
      </c>
      <c r="B81" s="37"/>
      <c r="C81" s="91" t="s">
        <v>218</v>
      </c>
      <c r="D81" s="38" t="s">
        <v>220</v>
      </c>
      <c r="E81" s="39"/>
      <c r="F81" s="40">
        <v>1278.4100000000001</v>
      </c>
      <c r="G81" s="40">
        <v>0</v>
      </c>
      <c r="H81" s="40">
        <v>1435.15</v>
      </c>
      <c r="I81" s="40">
        <v>0</v>
      </c>
      <c r="J81" s="41">
        <v>1615</v>
      </c>
      <c r="K81" s="41">
        <v>0</v>
      </c>
      <c r="L81" s="41">
        <v>0</v>
      </c>
      <c r="M81" s="41">
        <f t="shared" si="148"/>
        <v>1615</v>
      </c>
      <c r="N81" s="41">
        <v>65</v>
      </c>
      <c r="O81" s="41">
        <v>0</v>
      </c>
      <c r="P81" s="41">
        <v>0</v>
      </c>
      <c r="Q81" s="41">
        <f t="shared" si="228"/>
        <v>65</v>
      </c>
      <c r="R81" s="41">
        <f t="shared" si="106"/>
        <v>1680</v>
      </c>
      <c r="S81" s="41">
        <v>0</v>
      </c>
      <c r="T81" s="92"/>
      <c r="U81" s="92"/>
      <c r="V81" s="40">
        <f t="shared" si="229"/>
        <v>1518.82</v>
      </c>
      <c r="W81" s="40">
        <f t="shared" si="230"/>
        <v>0</v>
      </c>
      <c r="X81" s="43">
        <f t="shared" si="170"/>
        <v>161.18000000000006</v>
      </c>
      <c r="Y81" s="43">
        <f t="shared" si="170"/>
        <v>0</v>
      </c>
      <c r="Z81" s="43">
        <v>1468.82</v>
      </c>
      <c r="AA81" s="43">
        <v>50</v>
      </c>
      <c r="AB81" s="43">
        <f t="shared" si="182"/>
        <v>1518.82</v>
      </c>
      <c r="AC81" s="43">
        <f t="shared" si="183"/>
        <v>0</v>
      </c>
      <c r="AD81" s="43">
        <f t="shared" si="231"/>
        <v>1518.82</v>
      </c>
      <c r="AE81" s="43">
        <f t="shared" si="231"/>
        <v>0</v>
      </c>
      <c r="AF81" s="43">
        <f t="shared" si="184"/>
        <v>0</v>
      </c>
      <c r="AG81" s="43">
        <f t="shared" si="171"/>
        <v>380</v>
      </c>
      <c r="AH81" s="43">
        <f t="shared" si="171"/>
        <v>0</v>
      </c>
      <c r="AI81" s="93">
        <f t="shared" si="172"/>
        <v>127</v>
      </c>
      <c r="AJ81" s="43">
        <f t="shared" si="172"/>
        <v>0</v>
      </c>
      <c r="AK81" s="43"/>
      <c r="AL81" s="43"/>
      <c r="AM81" s="43">
        <f t="shared" si="185"/>
        <v>379.71</v>
      </c>
      <c r="AN81" s="43">
        <f t="shared" si="186"/>
        <v>0</v>
      </c>
      <c r="AO81" s="43"/>
      <c r="AP81" s="43"/>
      <c r="AQ81" s="43">
        <f t="shared" si="173"/>
        <v>759.71</v>
      </c>
      <c r="AR81" s="43">
        <f t="shared" si="173"/>
        <v>0</v>
      </c>
      <c r="AS81" s="43"/>
      <c r="AT81" s="43"/>
      <c r="AU81" s="43">
        <f t="shared" si="165"/>
        <v>379.71</v>
      </c>
      <c r="AV81" s="43">
        <f t="shared" si="165"/>
        <v>0</v>
      </c>
      <c r="AW81" s="43"/>
      <c r="AX81" s="43"/>
      <c r="AY81" s="43">
        <f t="shared" si="166"/>
        <v>1266.42</v>
      </c>
      <c r="AZ81" s="43">
        <f t="shared" si="166"/>
        <v>0</v>
      </c>
      <c r="BA81" s="43">
        <f t="shared" si="167"/>
        <v>1266.42</v>
      </c>
      <c r="BB81" s="60">
        <v>1205.5</v>
      </c>
      <c r="BC81" s="60"/>
      <c r="BD81" s="60">
        <f t="shared" si="168"/>
        <v>60.920000000000073</v>
      </c>
      <c r="BE81" s="60">
        <f t="shared" si="168"/>
        <v>0</v>
      </c>
      <c r="BF81" s="60">
        <f t="shared" si="169"/>
        <v>241.1</v>
      </c>
      <c r="BG81" s="60">
        <f t="shared" si="169"/>
        <v>0</v>
      </c>
      <c r="BH81" s="43">
        <v>90.09</v>
      </c>
      <c r="BI81" s="43">
        <v>0</v>
      </c>
      <c r="BJ81" s="43"/>
      <c r="BK81" s="43"/>
      <c r="BL81" s="43">
        <f t="shared" si="180"/>
        <v>1356.51</v>
      </c>
      <c r="BM81" s="43">
        <f t="shared" si="180"/>
        <v>0</v>
      </c>
      <c r="BN81" s="43">
        <f t="shared" si="187"/>
        <v>1356.51</v>
      </c>
      <c r="BO81" s="43">
        <v>1211.5</v>
      </c>
      <c r="BP81" s="93"/>
      <c r="BQ81" s="43">
        <f t="shared" si="188"/>
        <v>145.01</v>
      </c>
      <c r="BR81" s="43">
        <f t="shared" si="188"/>
        <v>0</v>
      </c>
      <c r="BS81" s="43">
        <f t="shared" si="189"/>
        <v>110.14</v>
      </c>
      <c r="BT81" s="43">
        <f t="shared" si="189"/>
        <v>0</v>
      </c>
      <c r="BU81" s="43">
        <f t="shared" si="212"/>
        <v>-34.86999999999999</v>
      </c>
      <c r="BV81" s="43">
        <f t="shared" si="222"/>
        <v>0</v>
      </c>
      <c r="BW81" s="43">
        <f>197.18+126</f>
        <v>323.18</v>
      </c>
      <c r="BX81" s="43"/>
      <c r="BY81" s="43"/>
      <c r="BZ81" s="43"/>
      <c r="CA81" s="43">
        <v>1644.8200000000002</v>
      </c>
      <c r="CB81" s="43">
        <v>0</v>
      </c>
      <c r="CC81" s="92">
        <v>1809.3</v>
      </c>
      <c r="CD81" s="92">
        <v>0</v>
      </c>
      <c r="CE81" s="92">
        <v>151</v>
      </c>
      <c r="CF81" s="92">
        <v>0</v>
      </c>
      <c r="CG81" s="92">
        <f t="shared" si="190"/>
        <v>411.21</v>
      </c>
      <c r="CH81" s="92">
        <f t="shared" si="190"/>
        <v>0</v>
      </c>
      <c r="CI81" s="43"/>
      <c r="CJ81" s="43"/>
      <c r="CK81" s="43">
        <v>411</v>
      </c>
      <c r="CL81" s="43">
        <v>0</v>
      </c>
      <c r="CM81" s="43"/>
      <c r="CN81" s="43"/>
      <c r="CO81" s="43">
        <v>1746.65</v>
      </c>
      <c r="CP81" s="43"/>
      <c r="CQ81" s="43">
        <f t="shared" si="191"/>
        <v>1644</v>
      </c>
      <c r="CR81" s="43">
        <f t="shared" si="191"/>
        <v>0</v>
      </c>
      <c r="CS81" s="43">
        <f t="shared" si="192"/>
        <v>1644</v>
      </c>
      <c r="CT81" s="43">
        <f t="shared" si="192"/>
        <v>0</v>
      </c>
      <c r="CU81" s="43">
        <v>1702</v>
      </c>
      <c r="CV81" s="43">
        <v>0</v>
      </c>
      <c r="CW81" s="43">
        <f t="shared" si="193"/>
        <v>425.5</v>
      </c>
      <c r="CX81" s="43">
        <f t="shared" si="193"/>
        <v>0</v>
      </c>
      <c r="CY81" s="43"/>
      <c r="CZ81" s="43"/>
      <c r="DA81" s="43">
        <f t="shared" si="194"/>
        <v>987.5</v>
      </c>
      <c r="DB81" s="43">
        <f t="shared" si="194"/>
        <v>0</v>
      </c>
      <c r="DC81" s="43">
        <v>628.54</v>
      </c>
      <c r="DD81" s="43">
        <v>0</v>
      </c>
      <c r="DE81" s="43">
        <f t="shared" si="195"/>
        <v>358.96000000000004</v>
      </c>
      <c r="DF81" s="43">
        <f t="shared" si="195"/>
        <v>0</v>
      </c>
      <c r="DG81" s="43">
        <f>ROUND(0.25*(MIN(CU81,EW81)),2)</f>
        <v>425.5</v>
      </c>
      <c r="DH81" s="43">
        <f>ROUND(0.25*(MIN(CV81,EX81)),2)</f>
        <v>0</v>
      </c>
      <c r="DI81" s="43">
        <f t="shared" si="196"/>
        <v>66.539999999999964</v>
      </c>
      <c r="DJ81" s="43">
        <f>+DH81-DF81</f>
        <v>0</v>
      </c>
      <c r="DK81" s="43"/>
      <c r="DL81" s="43"/>
      <c r="DM81" s="43">
        <f t="shared" si="197"/>
        <v>1054.04</v>
      </c>
      <c r="DN81" s="43">
        <f t="shared" si="197"/>
        <v>0</v>
      </c>
      <c r="DO81" s="94">
        <v>1054.04</v>
      </c>
      <c r="DP81" s="94">
        <v>0</v>
      </c>
      <c r="DQ81" s="60">
        <f t="shared" si="198"/>
        <v>0</v>
      </c>
      <c r="DR81" s="60">
        <f t="shared" si="198"/>
        <v>0</v>
      </c>
      <c r="DS81" s="60">
        <f t="shared" si="199"/>
        <v>105.404</v>
      </c>
      <c r="DT81" s="60">
        <f t="shared" si="199"/>
        <v>0</v>
      </c>
      <c r="DU81" s="60">
        <f t="shared" si="200"/>
        <v>105.404</v>
      </c>
      <c r="DV81" s="60">
        <f t="shared" si="200"/>
        <v>0</v>
      </c>
      <c r="DW81" s="60"/>
      <c r="DX81" s="60"/>
      <c r="DY81" s="60">
        <f t="shared" si="214"/>
        <v>105.4</v>
      </c>
      <c r="DZ81" s="60">
        <f t="shared" si="181"/>
        <v>0</v>
      </c>
      <c r="EA81" s="60"/>
      <c r="EB81" s="60"/>
      <c r="EC81" s="43">
        <f t="shared" si="201"/>
        <v>1159.44</v>
      </c>
      <c r="ED81" s="43">
        <f t="shared" si="201"/>
        <v>0</v>
      </c>
      <c r="EE81" s="43">
        <v>1054.04</v>
      </c>
      <c r="EF81" s="43">
        <v>0</v>
      </c>
      <c r="EG81" s="43">
        <f t="shared" si="66"/>
        <v>90.91</v>
      </c>
      <c r="EH81" s="43" t="e">
        <f t="shared" si="66"/>
        <v>#DIV/0!</v>
      </c>
      <c r="EI81" s="43">
        <f t="shared" si="202"/>
        <v>105.4</v>
      </c>
      <c r="EJ81" s="43">
        <f t="shared" si="202"/>
        <v>0</v>
      </c>
      <c r="EK81" s="43">
        <f t="shared" si="203"/>
        <v>95.82</v>
      </c>
      <c r="EL81" s="43">
        <f t="shared" si="203"/>
        <v>0</v>
      </c>
      <c r="EM81" s="43">
        <f t="shared" si="204"/>
        <v>-9.5800000000000125</v>
      </c>
      <c r="EN81" s="43">
        <f t="shared" si="204"/>
        <v>0</v>
      </c>
      <c r="EO81" s="43">
        <v>542.55999999999995</v>
      </c>
      <c r="EP81" s="43">
        <v>0</v>
      </c>
      <c r="EQ81" s="5"/>
      <c r="ER81" s="5"/>
      <c r="ES81" s="5"/>
      <c r="ET81" s="5"/>
      <c r="EU81" s="5">
        <f t="shared" si="88"/>
        <v>0</v>
      </c>
      <c r="EV81" s="5">
        <f t="shared" si="88"/>
        <v>0</v>
      </c>
      <c r="EW81" s="49">
        <f>76+1626</f>
        <v>1702</v>
      </c>
      <c r="EX81" s="5">
        <v>0</v>
      </c>
      <c r="EY81" s="58">
        <f>78.18+1725</f>
        <v>1803.18</v>
      </c>
      <c r="EZ81" s="5">
        <v>0</v>
      </c>
    </row>
    <row r="82" spans="1:162" s="51" customFormat="1" ht="18.75" x14ac:dyDescent="0.25">
      <c r="A82" s="68"/>
      <c r="B82" s="68" t="s">
        <v>221</v>
      </c>
      <c r="C82" s="91" t="s">
        <v>218</v>
      </c>
      <c r="D82" s="67" t="s">
        <v>219</v>
      </c>
      <c r="E82" s="69" t="s">
        <v>222</v>
      </c>
      <c r="F82" s="70">
        <v>3209.4400000000005</v>
      </c>
      <c r="G82" s="70">
        <v>206.2</v>
      </c>
      <c r="H82" s="70">
        <v>3391.1500000000005</v>
      </c>
      <c r="I82" s="70">
        <v>206.2</v>
      </c>
      <c r="J82" s="71">
        <f t="shared" ref="J82:AA82" si="232">+J80+J81</f>
        <v>3915.6</v>
      </c>
      <c r="K82" s="71">
        <f t="shared" si="232"/>
        <v>0</v>
      </c>
      <c r="L82" s="71">
        <f t="shared" si="232"/>
        <v>0</v>
      </c>
      <c r="M82" s="71">
        <f t="shared" si="232"/>
        <v>3915.6</v>
      </c>
      <c r="N82" s="71">
        <f t="shared" si="232"/>
        <v>65</v>
      </c>
      <c r="O82" s="71">
        <f t="shared" si="232"/>
        <v>0</v>
      </c>
      <c r="P82" s="71">
        <f t="shared" si="232"/>
        <v>0</v>
      </c>
      <c r="Q82" s="71">
        <f t="shared" si="232"/>
        <v>65</v>
      </c>
      <c r="R82" s="71">
        <f t="shared" si="232"/>
        <v>3980.6</v>
      </c>
      <c r="S82" s="71">
        <f t="shared" si="232"/>
        <v>180</v>
      </c>
      <c r="T82" s="71">
        <f t="shared" si="232"/>
        <v>0</v>
      </c>
      <c r="U82" s="71">
        <f t="shared" si="232"/>
        <v>0</v>
      </c>
      <c r="V82" s="71">
        <f t="shared" si="232"/>
        <v>3588.8500000000004</v>
      </c>
      <c r="W82" s="71">
        <f t="shared" si="232"/>
        <v>212.94</v>
      </c>
      <c r="X82" s="71">
        <f t="shared" si="232"/>
        <v>391.74999999999977</v>
      </c>
      <c r="Y82" s="71">
        <f t="shared" si="232"/>
        <v>-32.94</v>
      </c>
      <c r="Z82" s="71">
        <f t="shared" si="232"/>
        <v>3538.8500000000004</v>
      </c>
      <c r="AA82" s="71">
        <f t="shared" si="232"/>
        <v>50</v>
      </c>
      <c r="AB82" s="70">
        <f t="shared" si="182"/>
        <v>3588.8500000000004</v>
      </c>
      <c r="AC82" s="43">
        <f t="shared" si="183"/>
        <v>0</v>
      </c>
      <c r="AD82" s="70">
        <f t="shared" ref="AD82:CP82" si="233">+AD80+AD81</f>
        <v>3588.8500000000004</v>
      </c>
      <c r="AE82" s="70">
        <f t="shared" si="233"/>
        <v>180</v>
      </c>
      <c r="AF82" s="70">
        <f t="shared" si="233"/>
        <v>162.4</v>
      </c>
      <c r="AG82" s="70">
        <f t="shared" si="233"/>
        <v>898</v>
      </c>
      <c r="AH82" s="70">
        <f t="shared" si="233"/>
        <v>45</v>
      </c>
      <c r="AI82" s="96">
        <f t="shared" si="233"/>
        <v>300</v>
      </c>
      <c r="AJ82" s="70">
        <f t="shared" si="233"/>
        <v>15</v>
      </c>
      <c r="AK82" s="70">
        <f t="shared" si="233"/>
        <v>0</v>
      </c>
      <c r="AL82" s="70">
        <f t="shared" si="233"/>
        <v>0</v>
      </c>
      <c r="AM82" s="70">
        <f t="shared" si="233"/>
        <v>897.22</v>
      </c>
      <c r="AN82" s="70">
        <f t="shared" si="233"/>
        <v>43.83</v>
      </c>
      <c r="AO82" s="70">
        <f t="shared" si="233"/>
        <v>0</v>
      </c>
      <c r="AP82" s="70">
        <f t="shared" si="233"/>
        <v>0</v>
      </c>
      <c r="AQ82" s="70">
        <f t="shared" si="233"/>
        <v>1795.22</v>
      </c>
      <c r="AR82" s="70">
        <f t="shared" si="233"/>
        <v>88.83</v>
      </c>
      <c r="AS82" s="70">
        <f t="shared" si="233"/>
        <v>0</v>
      </c>
      <c r="AT82" s="70">
        <f t="shared" si="233"/>
        <v>45</v>
      </c>
      <c r="AU82" s="70">
        <f t="shared" si="233"/>
        <v>897.22</v>
      </c>
      <c r="AV82" s="70">
        <f t="shared" si="233"/>
        <v>31.17</v>
      </c>
      <c r="AW82" s="70">
        <f t="shared" si="233"/>
        <v>0</v>
      </c>
      <c r="AX82" s="70">
        <f t="shared" si="233"/>
        <v>0</v>
      </c>
      <c r="AY82" s="70">
        <f t="shared" si="233"/>
        <v>2992.44</v>
      </c>
      <c r="AZ82" s="70">
        <f t="shared" si="233"/>
        <v>180</v>
      </c>
      <c r="BA82" s="70">
        <f t="shared" si="233"/>
        <v>3172.44</v>
      </c>
      <c r="BB82" s="70">
        <f t="shared" si="233"/>
        <v>2983.0699999999997</v>
      </c>
      <c r="BC82" s="70">
        <f t="shared" si="233"/>
        <v>165.47</v>
      </c>
      <c r="BD82" s="70">
        <f t="shared" si="233"/>
        <v>9.3700000000001182</v>
      </c>
      <c r="BE82" s="70">
        <f t="shared" si="233"/>
        <v>14.530000000000001</v>
      </c>
      <c r="BF82" s="70">
        <f t="shared" si="233"/>
        <v>596.61</v>
      </c>
      <c r="BG82" s="96">
        <f t="shared" si="233"/>
        <v>33.090000000000003</v>
      </c>
      <c r="BH82" s="96">
        <f t="shared" si="233"/>
        <v>262.12</v>
      </c>
      <c r="BI82" s="96">
        <f t="shared" si="233"/>
        <v>9.2799999999999994</v>
      </c>
      <c r="BJ82" s="96">
        <f t="shared" si="233"/>
        <v>0</v>
      </c>
      <c r="BK82" s="96">
        <f t="shared" si="233"/>
        <v>0</v>
      </c>
      <c r="BL82" s="96">
        <f t="shared" si="233"/>
        <v>3254.56</v>
      </c>
      <c r="BM82" s="96">
        <f t="shared" si="233"/>
        <v>189.28</v>
      </c>
      <c r="BN82" s="96">
        <f t="shared" si="233"/>
        <v>3443.84</v>
      </c>
      <c r="BO82" s="96">
        <f t="shared" si="233"/>
        <v>3174.95</v>
      </c>
      <c r="BP82" s="96">
        <f t="shared" si="233"/>
        <v>185.21</v>
      </c>
      <c r="BQ82" s="70">
        <f t="shared" si="233"/>
        <v>79.6099999999999</v>
      </c>
      <c r="BR82" s="70">
        <f t="shared" si="233"/>
        <v>4.0699999999999932</v>
      </c>
      <c r="BS82" s="70">
        <f t="shared" si="233"/>
        <v>288.64</v>
      </c>
      <c r="BT82" s="70">
        <f t="shared" si="233"/>
        <v>16.84</v>
      </c>
      <c r="BU82" s="70">
        <f t="shared" si="233"/>
        <v>209.03000000000009</v>
      </c>
      <c r="BV82" s="70">
        <f t="shared" si="233"/>
        <v>60</v>
      </c>
      <c r="BW82" s="70">
        <f t="shared" si="233"/>
        <v>341.23</v>
      </c>
      <c r="BX82" s="70">
        <f t="shared" si="233"/>
        <v>10.719999999999999</v>
      </c>
      <c r="BY82" s="70">
        <f t="shared" si="233"/>
        <v>0</v>
      </c>
      <c r="BZ82" s="70">
        <f t="shared" si="233"/>
        <v>0</v>
      </c>
      <c r="CA82" s="70">
        <f t="shared" si="233"/>
        <v>3804.82</v>
      </c>
      <c r="CB82" s="70">
        <f t="shared" si="233"/>
        <v>260</v>
      </c>
      <c r="CC82" s="70">
        <f t="shared" si="233"/>
        <v>4185.3</v>
      </c>
      <c r="CD82" s="70">
        <f t="shared" si="233"/>
        <v>299</v>
      </c>
      <c r="CE82" s="70">
        <f t="shared" si="233"/>
        <v>349</v>
      </c>
      <c r="CF82" s="70">
        <f t="shared" si="233"/>
        <v>25</v>
      </c>
      <c r="CG82" s="70">
        <f t="shared" si="233"/>
        <v>951.21</v>
      </c>
      <c r="CH82" s="96">
        <f t="shared" si="233"/>
        <v>65</v>
      </c>
      <c r="CI82" s="70">
        <f t="shared" si="233"/>
        <v>0</v>
      </c>
      <c r="CJ82" s="70">
        <f t="shared" si="233"/>
        <v>0</v>
      </c>
      <c r="CK82" s="70">
        <f t="shared" si="233"/>
        <v>1006</v>
      </c>
      <c r="CL82" s="70">
        <f t="shared" si="233"/>
        <v>80</v>
      </c>
      <c r="CM82" s="70">
        <f t="shared" si="233"/>
        <v>0</v>
      </c>
      <c r="CN82" s="70">
        <f t="shared" si="233"/>
        <v>65.05</v>
      </c>
      <c r="CO82" s="70">
        <f t="shared" si="233"/>
        <v>4126.6499999999996</v>
      </c>
      <c r="CP82" s="70">
        <f t="shared" si="233"/>
        <v>385</v>
      </c>
      <c r="CQ82" s="70">
        <f t="shared" ref="CQ82:FB82" si="234">+CQ80+CQ81</f>
        <v>4024</v>
      </c>
      <c r="CR82" s="70">
        <f t="shared" si="234"/>
        <v>320</v>
      </c>
      <c r="CS82" s="70">
        <f t="shared" si="234"/>
        <v>4024</v>
      </c>
      <c r="CT82" s="70">
        <f t="shared" si="234"/>
        <v>320</v>
      </c>
      <c r="CU82" s="70">
        <f t="shared" si="234"/>
        <v>4082</v>
      </c>
      <c r="CV82" s="70">
        <f t="shared" si="234"/>
        <v>350</v>
      </c>
      <c r="CW82" s="70">
        <f t="shared" si="234"/>
        <v>1020.5</v>
      </c>
      <c r="CX82" s="70">
        <f t="shared" si="234"/>
        <v>78.5</v>
      </c>
      <c r="CY82" s="70">
        <f t="shared" si="234"/>
        <v>0</v>
      </c>
      <c r="CZ82" s="70">
        <f t="shared" si="234"/>
        <v>0</v>
      </c>
      <c r="DA82" s="70">
        <f t="shared" si="234"/>
        <v>2375.5</v>
      </c>
      <c r="DB82" s="70">
        <f t="shared" si="234"/>
        <v>248.55</v>
      </c>
      <c r="DC82" s="70">
        <f t="shared" si="234"/>
        <v>1937.02</v>
      </c>
      <c r="DD82" s="70">
        <f t="shared" si="234"/>
        <v>154.03</v>
      </c>
      <c r="DE82" s="70">
        <f t="shared" si="234"/>
        <v>438.48</v>
      </c>
      <c r="DF82" s="70">
        <f t="shared" si="234"/>
        <v>94.52000000000001</v>
      </c>
      <c r="DG82" s="70">
        <f t="shared" si="234"/>
        <v>986.75</v>
      </c>
      <c r="DH82" s="70">
        <f t="shared" si="234"/>
        <v>87.5</v>
      </c>
      <c r="DI82" s="70">
        <f t="shared" si="234"/>
        <v>548.27</v>
      </c>
      <c r="DJ82" s="70">
        <f t="shared" si="234"/>
        <v>-1.0658141036401503E-14</v>
      </c>
      <c r="DK82" s="70">
        <f t="shared" si="234"/>
        <v>50</v>
      </c>
      <c r="DL82" s="70">
        <f t="shared" si="234"/>
        <v>100</v>
      </c>
      <c r="DM82" s="70">
        <f t="shared" si="234"/>
        <v>2973.77</v>
      </c>
      <c r="DN82" s="70">
        <f t="shared" si="234"/>
        <v>348.55</v>
      </c>
      <c r="DO82" s="97">
        <f t="shared" si="234"/>
        <v>2930.89</v>
      </c>
      <c r="DP82" s="98">
        <f t="shared" si="234"/>
        <v>295.77999999999997</v>
      </c>
      <c r="DQ82" s="98">
        <f t="shared" si="234"/>
        <v>42.88</v>
      </c>
      <c r="DR82" s="98">
        <f t="shared" si="234"/>
        <v>52.77</v>
      </c>
      <c r="DS82" s="98">
        <f t="shared" si="234"/>
        <v>293.089</v>
      </c>
      <c r="DT82" s="98">
        <f t="shared" si="234"/>
        <v>29.577999999999996</v>
      </c>
      <c r="DU82" s="98">
        <f t="shared" si="234"/>
        <v>250.209</v>
      </c>
      <c r="DV82" s="98">
        <f t="shared" si="234"/>
        <v>-23.192000000000007</v>
      </c>
      <c r="DW82" s="98">
        <f t="shared" si="234"/>
        <v>0</v>
      </c>
      <c r="DX82" s="98">
        <f t="shared" si="234"/>
        <v>0</v>
      </c>
      <c r="DY82" s="98">
        <f t="shared" si="234"/>
        <v>250.21</v>
      </c>
      <c r="DZ82" s="98">
        <f t="shared" si="234"/>
        <v>0</v>
      </c>
      <c r="EA82" s="98">
        <f t="shared" si="234"/>
        <v>0</v>
      </c>
      <c r="EB82" s="134">
        <f t="shared" si="234"/>
        <v>0</v>
      </c>
      <c r="EC82" s="140">
        <f t="shared" si="234"/>
        <v>3223.98</v>
      </c>
      <c r="ED82" s="140">
        <f t="shared" si="234"/>
        <v>348.55</v>
      </c>
      <c r="EE82" s="140">
        <f t="shared" si="234"/>
        <v>3120.69</v>
      </c>
      <c r="EF82" s="140">
        <f t="shared" si="234"/>
        <v>337.88</v>
      </c>
      <c r="EG82" s="140">
        <f t="shared" si="234"/>
        <v>191.01</v>
      </c>
      <c r="EH82" s="140" t="e">
        <f t="shared" si="234"/>
        <v>#DIV/0!</v>
      </c>
      <c r="EI82" s="140">
        <f t="shared" si="234"/>
        <v>103.29</v>
      </c>
      <c r="EJ82" s="140">
        <f t="shared" si="234"/>
        <v>10.67</v>
      </c>
      <c r="EK82" s="140">
        <f t="shared" si="234"/>
        <v>283.7</v>
      </c>
      <c r="EL82" s="140">
        <f t="shared" si="234"/>
        <v>30.72</v>
      </c>
      <c r="EM82" s="140">
        <f t="shared" si="234"/>
        <v>180.41</v>
      </c>
      <c r="EN82" s="140">
        <f t="shared" si="234"/>
        <v>20.049999999999997</v>
      </c>
      <c r="EO82" s="140">
        <f t="shared" si="234"/>
        <v>735.91</v>
      </c>
      <c r="EP82" s="140">
        <f t="shared" si="234"/>
        <v>62.12</v>
      </c>
      <c r="EQ82" s="136">
        <f t="shared" si="234"/>
        <v>0</v>
      </c>
      <c r="ER82" s="47">
        <f t="shared" si="234"/>
        <v>0</v>
      </c>
      <c r="ES82" s="47">
        <f t="shared" si="234"/>
        <v>0</v>
      </c>
      <c r="ET82" s="47">
        <f t="shared" si="234"/>
        <v>0</v>
      </c>
      <c r="EU82" s="5">
        <f t="shared" si="88"/>
        <v>-12.889999999999986</v>
      </c>
      <c r="EV82" s="5">
        <f t="shared" si="88"/>
        <v>-10.670000000000009</v>
      </c>
      <c r="EW82" s="46">
        <f t="shared" si="234"/>
        <v>3947</v>
      </c>
      <c r="EX82" s="46">
        <f t="shared" si="234"/>
        <v>400</v>
      </c>
      <c r="EY82" s="46">
        <f t="shared" si="234"/>
        <v>4283.18</v>
      </c>
      <c r="EZ82" s="46">
        <f t="shared" si="234"/>
        <v>160</v>
      </c>
      <c r="FA82" s="46">
        <f t="shared" si="234"/>
        <v>0</v>
      </c>
      <c r="FB82" s="46">
        <f t="shared" si="234"/>
        <v>0</v>
      </c>
    </row>
    <row r="83" spans="1:162" ht="18.75" x14ac:dyDescent="0.25">
      <c r="A83" s="37">
        <v>62</v>
      </c>
      <c r="B83" s="37"/>
      <c r="C83" s="91" t="s">
        <v>136</v>
      </c>
      <c r="D83" s="38" t="s">
        <v>223</v>
      </c>
      <c r="E83" s="39"/>
      <c r="F83" s="40">
        <v>357.6400000000001</v>
      </c>
      <c r="G83" s="40">
        <v>0.12</v>
      </c>
      <c r="H83" s="40">
        <v>357.6400000000001</v>
      </c>
      <c r="I83" s="40">
        <v>0.12</v>
      </c>
      <c r="J83" s="41">
        <v>400</v>
      </c>
      <c r="K83" s="41">
        <v>0</v>
      </c>
      <c r="L83" s="41">
        <v>0</v>
      </c>
      <c r="M83" s="41">
        <f t="shared" si="148"/>
        <v>400</v>
      </c>
      <c r="N83" s="41">
        <v>0</v>
      </c>
      <c r="O83" s="41">
        <v>0</v>
      </c>
      <c r="P83" s="41">
        <v>0</v>
      </c>
      <c r="Q83" s="41">
        <f t="shared" si="228"/>
        <v>0</v>
      </c>
      <c r="R83" s="41">
        <f t="shared" si="106"/>
        <v>400</v>
      </c>
      <c r="S83" s="41">
        <v>0</v>
      </c>
      <c r="T83" s="92"/>
      <c r="U83" s="92"/>
      <c r="V83" s="40">
        <f t="shared" ref="V83:V84" si="235">ROUND(H83*1.0583,2)</f>
        <v>378.49</v>
      </c>
      <c r="W83" s="40">
        <f t="shared" ref="W83:W84" si="236">ROUND(I83*1.0327,2)</f>
        <v>0.12</v>
      </c>
      <c r="X83" s="43">
        <f t="shared" si="170"/>
        <v>21.509999999999991</v>
      </c>
      <c r="Y83" s="43">
        <f t="shared" si="170"/>
        <v>-0.12</v>
      </c>
      <c r="Z83" s="43">
        <v>378.49</v>
      </c>
      <c r="AA83" s="43"/>
      <c r="AB83" s="43">
        <f t="shared" si="182"/>
        <v>378.49</v>
      </c>
      <c r="AC83" s="43">
        <f t="shared" si="183"/>
        <v>0</v>
      </c>
      <c r="AD83" s="43">
        <f t="shared" ref="AD83:AE83" si="237">IF(X83&gt;0,V83,R83)</f>
        <v>378.49</v>
      </c>
      <c r="AE83" s="43">
        <f t="shared" si="237"/>
        <v>0</v>
      </c>
      <c r="AF83" s="43">
        <f t="shared" si="184"/>
        <v>0</v>
      </c>
      <c r="AG83" s="43">
        <f t="shared" si="171"/>
        <v>95</v>
      </c>
      <c r="AH83" s="43">
        <f t="shared" si="171"/>
        <v>0</v>
      </c>
      <c r="AI83" s="93">
        <f t="shared" si="172"/>
        <v>32</v>
      </c>
      <c r="AJ83" s="43">
        <f t="shared" si="172"/>
        <v>0</v>
      </c>
      <c r="AK83" s="43">
        <v>25</v>
      </c>
      <c r="AL83" s="43"/>
      <c r="AM83" s="43">
        <f t="shared" si="185"/>
        <v>94.62</v>
      </c>
      <c r="AN83" s="43">
        <f t="shared" si="186"/>
        <v>0</v>
      </c>
      <c r="AO83" s="43"/>
      <c r="AP83" s="43"/>
      <c r="AQ83" s="43">
        <f t="shared" si="173"/>
        <v>214.62</v>
      </c>
      <c r="AR83" s="43">
        <f t="shared" si="173"/>
        <v>0</v>
      </c>
      <c r="AS83" s="43">
        <v>10</v>
      </c>
      <c r="AT83" s="43"/>
      <c r="AU83" s="43">
        <f t="shared" si="165"/>
        <v>94.62</v>
      </c>
      <c r="AV83" s="43">
        <f t="shared" si="165"/>
        <v>0</v>
      </c>
      <c r="AW83" s="43">
        <v>25</v>
      </c>
      <c r="AX83" s="43"/>
      <c r="AY83" s="43">
        <f t="shared" si="166"/>
        <v>376.24</v>
      </c>
      <c r="AZ83" s="43">
        <f t="shared" si="166"/>
        <v>0</v>
      </c>
      <c r="BA83" s="43">
        <f t="shared" si="167"/>
        <v>376.24</v>
      </c>
      <c r="BB83" s="60">
        <v>371.83</v>
      </c>
      <c r="BC83" s="60"/>
      <c r="BD83" s="60">
        <f t="shared" si="168"/>
        <v>4.410000000000025</v>
      </c>
      <c r="BE83" s="60">
        <f t="shared" si="168"/>
        <v>0</v>
      </c>
      <c r="BF83" s="60">
        <f t="shared" si="169"/>
        <v>74.37</v>
      </c>
      <c r="BG83" s="60">
        <f t="shared" si="169"/>
        <v>0</v>
      </c>
      <c r="BH83" s="43">
        <v>39.979999999999997</v>
      </c>
      <c r="BI83" s="43">
        <v>0</v>
      </c>
      <c r="BJ83" s="43"/>
      <c r="BK83" s="43"/>
      <c r="BL83" s="43">
        <f t="shared" si="180"/>
        <v>416.22</v>
      </c>
      <c r="BM83" s="43">
        <f t="shared" si="180"/>
        <v>0</v>
      </c>
      <c r="BN83" s="43">
        <f t="shared" si="187"/>
        <v>416.22</v>
      </c>
      <c r="BO83" s="99">
        <v>408.09</v>
      </c>
      <c r="BP83" s="93">
        <v>0</v>
      </c>
      <c r="BQ83" s="43">
        <f t="shared" si="188"/>
        <v>8.1300000000000523</v>
      </c>
      <c r="BR83" s="43">
        <f t="shared" si="188"/>
        <v>0</v>
      </c>
      <c r="BS83" s="43">
        <f t="shared" si="189"/>
        <v>37.1</v>
      </c>
      <c r="BT83" s="43">
        <f t="shared" si="189"/>
        <v>0</v>
      </c>
      <c r="BU83" s="43">
        <f>ROUND(BS83-BQ83,2)</f>
        <v>28.97</v>
      </c>
      <c r="BV83" s="43">
        <f t="shared" si="222"/>
        <v>0</v>
      </c>
      <c r="BW83" s="43">
        <v>9.5399999999999991</v>
      </c>
      <c r="BX83" s="43"/>
      <c r="BY83" s="43"/>
      <c r="BZ83" s="43"/>
      <c r="CA83" s="43">
        <v>454.73000000000008</v>
      </c>
      <c r="CB83" s="43">
        <v>0</v>
      </c>
      <c r="CC83" s="92">
        <v>500.2</v>
      </c>
      <c r="CD83" s="92">
        <v>0</v>
      </c>
      <c r="CE83" s="92">
        <v>42</v>
      </c>
      <c r="CF83" s="92">
        <v>0</v>
      </c>
      <c r="CG83" s="92">
        <f t="shared" si="190"/>
        <v>113.68</v>
      </c>
      <c r="CH83" s="92">
        <f t="shared" si="190"/>
        <v>0</v>
      </c>
      <c r="CI83" s="43"/>
      <c r="CJ83" s="43"/>
      <c r="CK83" s="72">
        <f>130-10</f>
        <v>120</v>
      </c>
      <c r="CL83" s="43">
        <v>0</v>
      </c>
      <c r="CM83" s="43"/>
      <c r="CN83" s="43"/>
      <c r="CO83" s="43">
        <v>500</v>
      </c>
      <c r="CP83" s="43"/>
      <c r="CQ83" s="43">
        <f t="shared" si="191"/>
        <v>480</v>
      </c>
      <c r="CR83" s="43">
        <f t="shared" si="191"/>
        <v>0</v>
      </c>
      <c r="CS83" s="43">
        <f t="shared" si="192"/>
        <v>480</v>
      </c>
      <c r="CT83" s="43">
        <f t="shared" si="192"/>
        <v>0</v>
      </c>
      <c r="CU83" s="43">
        <f t="shared" si="192"/>
        <v>480</v>
      </c>
      <c r="CV83" s="43">
        <f t="shared" si="192"/>
        <v>0</v>
      </c>
      <c r="CW83" s="43">
        <f t="shared" si="193"/>
        <v>120</v>
      </c>
      <c r="CX83" s="43">
        <f t="shared" si="193"/>
        <v>0</v>
      </c>
      <c r="CY83" s="43">
        <v>25</v>
      </c>
      <c r="CZ83" s="43"/>
      <c r="DA83" s="43">
        <f t="shared" si="194"/>
        <v>307</v>
      </c>
      <c r="DB83" s="43">
        <f t="shared" si="194"/>
        <v>0</v>
      </c>
      <c r="DC83" s="43">
        <v>300.5</v>
      </c>
      <c r="DD83" s="43">
        <v>0</v>
      </c>
      <c r="DE83" s="43">
        <f t="shared" si="195"/>
        <v>6.5</v>
      </c>
      <c r="DF83" s="43">
        <f t="shared" si="195"/>
        <v>0</v>
      </c>
      <c r="DG83" s="43">
        <f>ROUND(0.25*(MIN(CU83,EW83)),2)</f>
        <v>120</v>
      </c>
      <c r="DH83" s="43">
        <f>ROUND(0.25*(MIN(CV83,EX83)),2)</f>
        <v>0</v>
      </c>
      <c r="DI83" s="43">
        <f t="shared" si="196"/>
        <v>113.5</v>
      </c>
      <c r="DJ83" s="43">
        <f>+DH83-DF83</f>
        <v>0</v>
      </c>
      <c r="DK83" s="43">
        <v>27</v>
      </c>
      <c r="DL83" s="43"/>
      <c r="DM83" s="43">
        <f t="shared" si="197"/>
        <v>447.5</v>
      </c>
      <c r="DN83" s="43">
        <f t="shared" si="197"/>
        <v>0</v>
      </c>
      <c r="DO83" s="94">
        <v>443.15</v>
      </c>
      <c r="DP83" s="95">
        <v>0</v>
      </c>
      <c r="DQ83" s="60">
        <f t="shared" si="198"/>
        <v>4.3499999999999996</v>
      </c>
      <c r="DR83" s="60">
        <f t="shared" si="198"/>
        <v>0</v>
      </c>
      <c r="DS83" s="60">
        <f t="shared" si="199"/>
        <v>44.314999999999998</v>
      </c>
      <c r="DT83" s="60">
        <f t="shared" si="199"/>
        <v>0</v>
      </c>
      <c r="DU83" s="60">
        <f t="shared" si="200"/>
        <v>39.964999999999996</v>
      </c>
      <c r="DV83" s="60">
        <f t="shared" si="200"/>
        <v>0</v>
      </c>
      <c r="DW83" s="60"/>
      <c r="DX83" s="60"/>
      <c r="DY83" s="60">
        <f t="shared" si="214"/>
        <v>39.97</v>
      </c>
      <c r="DZ83" s="60">
        <f t="shared" si="181"/>
        <v>0</v>
      </c>
      <c r="EA83" s="60"/>
      <c r="EB83" s="60"/>
      <c r="EC83" s="43">
        <f t="shared" si="201"/>
        <v>487.47</v>
      </c>
      <c r="ED83" s="43">
        <f t="shared" si="201"/>
        <v>0</v>
      </c>
      <c r="EE83" s="43">
        <v>487.04</v>
      </c>
      <c r="EF83" s="43">
        <v>0</v>
      </c>
      <c r="EG83" s="43">
        <f t="shared" si="66"/>
        <v>99.91</v>
      </c>
      <c r="EH83" s="43" t="e">
        <f t="shared" si="66"/>
        <v>#DIV/0!</v>
      </c>
      <c r="EI83" s="43">
        <f t="shared" si="202"/>
        <v>0.43</v>
      </c>
      <c r="EJ83" s="43">
        <f t="shared" si="202"/>
        <v>0</v>
      </c>
      <c r="EK83" s="43">
        <f t="shared" si="203"/>
        <v>44.28</v>
      </c>
      <c r="EL83" s="43">
        <f t="shared" si="203"/>
        <v>0</v>
      </c>
      <c r="EM83" s="43">
        <f t="shared" si="204"/>
        <v>43.85</v>
      </c>
      <c r="EN83" s="43">
        <f t="shared" si="204"/>
        <v>0</v>
      </c>
      <c r="EO83" s="43">
        <v>40</v>
      </c>
      <c r="EP83" s="43">
        <v>0</v>
      </c>
      <c r="EQ83" s="5"/>
      <c r="ER83" s="5"/>
      <c r="ES83" s="5"/>
      <c r="ET83" s="5"/>
      <c r="EU83" s="5">
        <f t="shared" si="88"/>
        <v>-7.4700000000000273</v>
      </c>
      <c r="EV83" s="5">
        <f t="shared" si="88"/>
        <v>0</v>
      </c>
      <c r="EW83" s="5">
        <v>520</v>
      </c>
      <c r="EX83" s="5">
        <v>0</v>
      </c>
      <c r="EY83" s="5">
        <v>550</v>
      </c>
      <c r="EZ83" s="5">
        <v>0</v>
      </c>
    </row>
    <row r="84" spans="1:162" ht="18.75" x14ac:dyDescent="0.25">
      <c r="A84" s="37">
        <v>63</v>
      </c>
      <c r="B84" s="37"/>
      <c r="C84" s="91" t="s">
        <v>136</v>
      </c>
      <c r="D84" s="105" t="s">
        <v>224</v>
      </c>
      <c r="E84" s="39"/>
      <c r="F84" s="40">
        <v>1864.65</v>
      </c>
      <c r="G84" s="40">
        <v>0</v>
      </c>
      <c r="H84" s="40">
        <v>1864.65</v>
      </c>
      <c r="I84" s="40">
        <v>0</v>
      </c>
      <c r="J84" s="41">
        <v>2522.88</v>
      </c>
      <c r="K84" s="41">
        <v>0</v>
      </c>
      <c r="L84" s="41">
        <v>0</v>
      </c>
      <c r="M84" s="41">
        <f t="shared" si="148"/>
        <v>2522.88</v>
      </c>
      <c r="N84" s="41">
        <v>145</v>
      </c>
      <c r="O84" s="41">
        <v>0</v>
      </c>
      <c r="P84" s="41">
        <v>0</v>
      </c>
      <c r="Q84" s="41">
        <f t="shared" si="228"/>
        <v>145</v>
      </c>
      <c r="R84" s="41">
        <f t="shared" si="106"/>
        <v>2667.88</v>
      </c>
      <c r="S84" s="41">
        <v>0</v>
      </c>
      <c r="T84" s="92"/>
      <c r="U84" s="92"/>
      <c r="V84" s="40">
        <f t="shared" si="235"/>
        <v>1973.36</v>
      </c>
      <c r="W84" s="40">
        <f t="shared" si="236"/>
        <v>0</v>
      </c>
      <c r="X84" s="43">
        <f t="shared" si="170"/>
        <v>694.52000000000021</v>
      </c>
      <c r="Y84" s="43">
        <f t="shared" si="170"/>
        <v>0</v>
      </c>
      <c r="Z84" s="43">
        <v>1873.36</v>
      </c>
      <c r="AA84" s="43">
        <v>100</v>
      </c>
      <c r="AB84" s="43">
        <f t="shared" si="182"/>
        <v>1973.36</v>
      </c>
      <c r="AC84" s="43">
        <f t="shared" si="183"/>
        <v>0</v>
      </c>
      <c r="AD84" s="43">
        <v>1973.36</v>
      </c>
      <c r="AE84" s="43">
        <v>0</v>
      </c>
      <c r="AF84" s="43">
        <v>0</v>
      </c>
      <c r="AG84" s="43">
        <v>493</v>
      </c>
      <c r="AH84" s="43">
        <v>0</v>
      </c>
      <c r="AI84" s="93">
        <v>164</v>
      </c>
      <c r="AJ84" s="43">
        <v>0</v>
      </c>
      <c r="AK84" s="43"/>
      <c r="AL84" s="43"/>
      <c r="AM84" s="43">
        <v>493.34</v>
      </c>
      <c r="AN84" s="43">
        <v>0</v>
      </c>
      <c r="AO84" s="43"/>
      <c r="AP84" s="43"/>
      <c r="AQ84" s="43">
        <v>986.33999999999992</v>
      </c>
      <c r="AR84" s="43">
        <v>0</v>
      </c>
      <c r="AS84" s="43"/>
      <c r="AT84" s="43"/>
      <c r="AU84" s="43">
        <v>493.34</v>
      </c>
      <c r="AV84" s="43">
        <v>0</v>
      </c>
      <c r="AW84" s="43"/>
      <c r="AX84" s="43"/>
      <c r="AY84" s="43">
        <f t="shared" si="166"/>
        <v>1643.6799999999998</v>
      </c>
      <c r="AZ84" s="43">
        <f t="shared" si="166"/>
        <v>0</v>
      </c>
      <c r="BA84" s="43">
        <f t="shared" si="167"/>
        <v>1643.6799999999998</v>
      </c>
      <c r="BB84" s="60">
        <v>1643.68</v>
      </c>
      <c r="BC84" s="60"/>
      <c r="BD84" s="60">
        <f t="shared" si="168"/>
        <v>0</v>
      </c>
      <c r="BE84" s="60">
        <f t="shared" si="168"/>
        <v>0</v>
      </c>
      <c r="BF84" s="60">
        <f t="shared" si="169"/>
        <v>328.74</v>
      </c>
      <c r="BG84" s="60">
        <f t="shared" si="169"/>
        <v>0</v>
      </c>
      <c r="BH84" s="43">
        <v>164.37</v>
      </c>
      <c r="BI84" s="43">
        <v>0</v>
      </c>
      <c r="BJ84" s="43"/>
      <c r="BK84" s="43"/>
      <c r="BL84" s="43">
        <f t="shared" si="180"/>
        <v>1808.0499999999997</v>
      </c>
      <c r="BM84" s="43">
        <f t="shared" si="180"/>
        <v>0</v>
      </c>
      <c r="BN84" s="43">
        <f t="shared" si="187"/>
        <v>1808.0499999999997</v>
      </c>
      <c r="BO84" s="99">
        <f>1643.68</f>
        <v>1643.68</v>
      </c>
      <c r="BP84" s="93"/>
      <c r="BQ84" s="43">
        <f t="shared" si="188"/>
        <v>164.36999999999966</v>
      </c>
      <c r="BR84" s="43">
        <f t="shared" si="188"/>
        <v>0</v>
      </c>
      <c r="BS84" s="43">
        <f t="shared" si="189"/>
        <v>149.43</v>
      </c>
      <c r="BT84" s="43">
        <f t="shared" si="189"/>
        <v>0</v>
      </c>
      <c r="BU84" s="43">
        <f>ROUND(BS84-BQ84,2)</f>
        <v>-14.94</v>
      </c>
      <c r="BV84" s="43">
        <f t="shared" si="222"/>
        <v>0</v>
      </c>
      <c r="BW84" s="43">
        <v>241.89</v>
      </c>
      <c r="BX84" s="43"/>
      <c r="BY84" s="43"/>
      <c r="BZ84" s="43"/>
      <c r="CA84" s="43">
        <v>2034.9999999999995</v>
      </c>
      <c r="CB84" s="43">
        <v>0</v>
      </c>
      <c r="CC84" s="92">
        <v>2238.5</v>
      </c>
      <c r="CD84" s="92">
        <v>0</v>
      </c>
      <c r="CE84" s="92">
        <v>187</v>
      </c>
      <c r="CF84" s="92">
        <v>0</v>
      </c>
      <c r="CG84" s="92">
        <f t="shared" si="190"/>
        <v>508.75</v>
      </c>
      <c r="CH84" s="92">
        <f t="shared" si="190"/>
        <v>0</v>
      </c>
      <c r="CI84" s="43"/>
      <c r="CJ84" s="43"/>
      <c r="CK84" s="72">
        <f>661-61-30</f>
        <v>570</v>
      </c>
      <c r="CL84" s="43">
        <v>0</v>
      </c>
      <c r="CM84" s="43"/>
      <c r="CN84" s="43"/>
      <c r="CO84" s="43">
        <v>2890</v>
      </c>
      <c r="CP84" s="43"/>
      <c r="CQ84" s="43">
        <f t="shared" si="191"/>
        <v>2280</v>
      </c>
      <c r="CR84" s="43">
        <f t="shared" si="191"/>
        <v>0</v>
      </c>
      <c r="CS84" s="43">
        <f t="shared" si="192"/>
        <v>2280</v>
      </c>
      <c r="CT84" s="43">
        <f t="shared" si="192"/>
        <v>0</v>
      </c>
      <c r="CU84" s="43">
        <f t="shared" si="192"/>
        <v>2280</v>
      </c>
      <c r="CV84" s="43">
        <f t="shared" si="192"/>
        <v>0</v>
      </c>
      <c r="CW84" s="43">
        <f t="shared" si="193"/>
        <v>570</v>
      </c>
      <c r="CX84" s="43">
        <f t="shared" si="193"/>
        <v>0</v>
      </c>
      <c r="CY84" s="43"/>
      <c r="CZ84" s="43"/>
      <c r="DA84" s="43">
        <f t="shared" si="194"/>
        <v>1327</v>
      </c>
      <c r="DB84" s="43">
        <f t="shared" si="194"/>
        <v>0</v>
      </c>
      <c r="DC84" s="43">
        <v>1327</v>
      </c>
      <c r="DD84" s="43">
        <v>0</v>
      </c>
      <c r="DE84" s="43">
        <f t="shared" si="195"/>
        <v>0</v>
      </c>
      <c r="DF84" s="43">
        <f t="shared" si="195"/>
        <v>0</v>
      </c>
      <c r="DG84" s="43">
        <f>ROUND(0.25*(MIN(CU84,EW84)),2)</f>
        <v>570</v>
      </c>
      <c r="DH84" s="43">
        <f>ROUND(0.25*(MIN(CV84,EX84)),2)</f>
        <v>0</v>
      </c>
      <c r="DI84" s="43">
        <f t="shared" si="196"/>
        <v>570</v>
      </c>
      <c r="DJ84" s="43">
        <f>+DH84-DF84</f>
        <v>0</v>
      </c>
      <c r="DK84" s="43"/>
      <c r="DL84" s="43"/>
      <c r="DM84" s="43">
        <f t="shared" si="197"/>
        <v>1897</v>
      </c>
      <c r="DN84" s="43">
        <f t="shared" si="197"/>
        <v>0</v>
      </c>
      <c r="DO84" s="94">
        <v>1897</v>
      </c>
      <c r="DP84" s="95">
        <v>0</v>
      </c>
      <c r="DQ84" s="60">
        <f t="shared" si="198"/>
        <v>0</v>
      </c>
      <c r="DR84" s="60">
        <f t="shared" si="198"/>
        <v>0</v>
      </c>
      <c r="DS84" s="60">
        <f t="shared" si="199"/>
        <v>189.7</v>
      </c>
      <c r="DT84" s="60">
        <f t="shared" si="199"/>
        <v>0</v>
      </c>
      <c r="DU84" s="60">
        <f t="shared" si="200"/>
        <v>189.7</v>
      </c>
      <c r="DV84" s="60">
        <f t="shared" si="200"/>
        <v>0</v>
      </c>
      <c r="DW84" s="60"/>
      <c r="DX84" s="60"/>
      <c r="DY84" s="60">
        <f t="shared" si="214"/>
        <v>189.7</v>
      </c>
      <c r="DZ84" s="60">
        <f t="shared" si="181"/>
        <v>0</v>
      </c>
      <c r="EA84" s="60"/>
      <c r="EB84" s="60"/>
      <c r="EC84" s="43">
        <f t="shared" si="201"/>
        <v>2086.6999999999998</v>
      </c>
      <c r="ED84" s="43">
        <f t="shared" si="201"/>
        <v>0</v>
      </c>
      <c r="EE84" s="43">
        <v>2086.6999999999998</v>
      </c>
      <c r="EF84" s="43">
        <v>0</v>
      </c>
      <c r="EG84" s="43">
        <f t="shared" si="66"/>
        <v>100</v>
      </c>
      <c r="EH84" s="43" t="e">
        <f t="shared" si="66"/>
        <v>#DIV/0!</v>
      </c>
      <c r="EI84" s="43">
        <f t="shared" si="202"/>
        <v>0</v>
      </c>
      <c r="EJ84" s="43">
        <f t="shared" si="202"/>
        <v>0</v>
      </c>
      <c r="EK84" s="43">
        <f t="shared" si="203"/>
        <v>189.7</v>
      </c>
      <c r="EL84" s="43">
        <f t="shared" si="203"/>
        <v>0</v>
      </c>
      <c r="EM84" s="43">
        <f t="shared" si="204"/>
        <v>189.7</v>
      </c>
      <c r="EN84" s="43">
        <f t="shared" si="204"/>
        <v>0</v>
      </c>
      <c r="EO84" s="43">
        <v>190</v>
      </c>
      <c r="EP84" s="43">
        <v>0</v>
      </c>
      <c r="EQ84" s="5"/>
      <c r="ER84" s="5"/>
      <c r="ES84" s="5"/>
      <c r="ET84" s="5"/>
      <c r="EU84" s="5">
        <f t="shared" si="88"/>
        <v>612.62000000000035</v>
      </c>
      <c r="EV84" s="5">
        <f t="shared" si="88"/>
        <v>0</v>
      </c>
      <c r="EW84" s="5">
        <f>146.44+2742.88</f>
        <v>2889.32</v>
      </c>
      <c r="EX84" s="5">
        <v>0</v>
      </c>
      <c r="EY84" s="58">
        <f>160+3004.86</f>
        <v>3164.86</v>
      </c>
      <c r="EZ84" s="5">
        <v>0</v>
      </c>
    </row>
    <row r="85" spans="1:162" ht="18.75" x14ac:dyDescent="0.25">
      <c r="A85" s="68"/>
      <c r="B85" s="68" t="s">
        <v>225</v>
      </c>
      <c r="C85" s="91" t="s">
        <v>136</v>
      </c>
      <c r="D85" s="67" t="s">
        <v>223</v>
      </c>
      <c r="E85" s="69" t="s">
        <v>226</v>
      </c>
      <c r="F85" s="70">
        <v>2222.29</v>
      </c>
      <c r="G85" s="70">
        <v>0.12</v>
      </c>
      <c r="H85" s="70">
        <v>2222.29</v>
      </c>
      <c r="I85" s="70">
        <v>0.12</v>
      </c>
      <c r="J85" s="70" t="e">
        <f>+J83+J84+#REF!</f>
        <v>#REF!</v>
      </c>
      <c r="K85" s="70" t="e">
        <f>+K83+K84+#REF!</f>
        <v>#REF!</v>
      </c>
      <c r="L85" s="70" t="e">
        <f>+L83+L84+#REF!</f>
        <v>#REF!</v>
      </c>
      <c r="M85" s="70" t="e">
        <f>+M83+M84+#REF!</f>
        <v>#REF!</v>
      </c>
      <c r="N85" s="70" t="e">
        <f>+N83+N84+#REF!</f>
        <v>#REF!</v>
      </c>
      <c r="O85" s="70" t="e">
        <f>+O83+O84+#REF!</f>
        <v>#REF!</v>
      </c>
      <c r="P85" s="70" t="e">
        <f>+P83+P84+#REF!</f>
        <v>#REF!</v>
      </c>
      <c r="Q85" s="70" t="e">
        <f>+Q83+Q84+#REF!</f>
        <v>#REF!</v>
      </c>
      <c r="R85" s="71" t="e">
        <f>+Q85+M85</f>
        <v>#REF!</v>
      </c>
      <c r="S85" s="70" t="e">
        <f>+S83+S84+#REF!</f>
        <v>#REF!</v>
      </c>
      <c r="T85" s="70" t="e">
        <f>+T83+T84+#REF!</f>
        <v>#REF!</v>
      </c>
      <c r="U85" s="70" t="e">
        <f>+U83+U84+#REF!</f>
        <v>#REF!</v>
      </c>
      <c r="V85" s="70" t="e">
        <f>+V83+V84+#REF!</f>
        <v>#REF!</v>
      </c>
      <c r="W85" s="70" t="e">
        <f>+W83+W84+#REF!</f>
        <v>#REF!</v>
      </c>
      <c r="X85" s="70" t="e">
        <f>+X83+X84+#REF!</f>
        <v>#REF!</v>
      </c>
      <c r="Y85" s="70" t="e">
        <f>+Y83+Y84+#REF!</f>
        <v>#REF!</v>
      </c>
      <c r="Z85" s="70" t="e">
        <f>+Z83+Z84+#REF!</f>
        <v>#REF!</v>
      </c>
      <c r="AA85" s="70" t="e">
        <f>+AA83+AA84+#REF!</f>
        <v>#REF!</v>
      </c>
      <c r="AB85" s="70" t="e">
        <f t="shared" si="182"/>
        <v>#REF!</v>
      </c>
      <c r="AC85" s="43" t="e">
        <f t="shared" si="183"/>
        <v>#REF!</v>
      </c>
      <c r="AD85" s="70">
        <f t="shared" ref="AD85:CO85" si="238">+AD83+AD84</f>
        <v>2351.85</v>
      </c>
      <c r="AE85" s="70">
        <f t="shared" si="238"/>
        <v>0</v>
      </c>
      <c r="AF85" s="70">
        <f t="shared" si="238"/>
        <v>0</v>
      </c>
      <c r="AG85" s="70">
        <f t="shared" si="238"/>
        <v>588</v>
      </c>
      <c r="AH85" s="70">
        <f t="shared" si="238"/>
        <v>0</v>
      </c>
      <c r="AI85" s="70">
        <f t="shared" si="238"/>
        <v>196</v>
      </c>
      <c r="AJ85" s="70">
        <f t="shared" si="238"/>
        <v>0</v>
      </c>
      <c r="AK85" s="70">
        <f t="shared" si="238"/>
        <v>25</v>
      </c>
      <c r="AL85" s="70">
        <f t="shared" si="238"/>
        <v>0</v>
      </c>
      <c r="AM85" s="70">
        <f t="shared" si="238"/>
        <v>587.96</v>
      </c>
      <c r="AN85" s="70">
        <f t="shared" si="238"/>
        <v>0</v>
      </c>
      <c r="AO85" s="70">
        <f t="shared" si="238"/>
        <v>0</v>
      </c>
      <c r="AP85" s="70">
        <f t="shared" si="238"/>
        <v>0</v>
      </c>
      <c r="AQ85" s="70">
        <f t="shared" si="238"/>
        <v>1200.96</v>
      </c>
      <c r="AR85" s="70">
        <f t="shared" si="238"/>
        <v>0</v>
      </c>
      <c r="AS85" s="70">
        <f t="shared" si="238"/>
        <v>10</v>
      </c>
      <c r="AT85" s="70">
        <f t="shared" si="238"/>
        <v>0</v>
      </c>
      <c r="AU85" s="70">
        <f t="shared" si="238"/>
        <v>587.96</v>
      </c>
      <c r="AV85" s="70">
        <f t="shared" si="238"/>
        <v>0</v>
      </c>
      <c r="AW85" s="70">
        <f t="shared" si="238"/>
        <v>25</v>
      </c>
      <c r="AX85" s="70">
        <f t="shared" si="238"/>
        <v>0</v>
      </c>
      <c r="AY85" s="70">
        <f t="shared" si="238"/>
        <v>2019.9199999999998</v>
      </c>
      <c r="AZ85" s="70">
        <f t="shared" si="238"/>
        <v>0</v>
      </c>
      <c r="BA85" s="70">
        <f t="shared" si="238"/>
        <v>2019.9199999999998</v>
      </c>
      <c r="BB85" s="70">
        <f t="shared" si="238"/>
        <v>2015.51</v>
      </c>
      <c r="BC85" s="70">
        <f t="shared" si="238"/>
        <v>0</v>
      </c>
      <c r="BD85" s="70">
        <f t="shared" si="238"/>
        <v>4.410000000000025</v>
      </c>
      <c r="BE85" s="70">
        <f t="shared" si="238"/>
        <v>0</v>
      </c>
      <c r="BF85" s="70">
        <f t="shared" si="238"/>
        <v>403.11</v>
      </c>
      <c r="BG85" s="96">
        <f t="shared" si="238"/>
        <v>0</v>
      </c>
      <c r="BH85" s="96">
        <f t="shared" si="238"/>
        <v>204.35</v>
      </c>
      <c r="BI85" s="96">
        <f t="shared" si="238"/>
        <v>0</v>
      </c>
      <c r="BJ85" s="96">
        <f t="shared" si="238"/>
        <v>0</v>
      </c>
      <c r="BK85" s="96">
        <f t="shared" si="238"/>
        <v>0</v>
      </c>
      <c r="BL85" s="96">
        <f t="shared" si="238"/>
        <v>2224.2699999999995</v>
      </c>
      <c r="BM85" s="96">
        <f t="shared" si="238"/>
        <v>0</v>
      </c>
      <c r="BN85" s="96">
        <f t="shared" si="238"/>
        <v>2224.2699999999995</v>
      </c>
      <c r="BO85" s="96">
        <f t="shared" si="238"/>
        <v>2051.77</v>
      </c>
      <c r="BP85" s="96">
        <f t="shared" si="238"/>
        <v>0</v>
      </c>
      <c r="BQ85" s="70">
        <f t="shared" si="238"/>
        <v>172.49999999999972</v>
      </c>
      <c r="BR85" s="70">
        <f t="shared" si="238"/>
        <v>0</v>
      </c>
      <c r="BS85" s="70">
        <f t="shared" si="238"/>
        <v>186.53</v>
      </c>
      <c r="BT85" s="70">
        <f t="shared" si="238"/>
        <v>0</v>
      </c>
      <c r="BU85" s="70">
        <f t="shared" si="238"/>
        <v>14.03</v>
      </c>
      <c r="BV85" s="70">
        <f t="shared" si="238"/>
        <v>0</v>
      </c>
      <c r="BW85" s="70">
        <f t="shared" si="238"/>
        <v>251.42999999999998</v>
      </c>
      <c r="BX85" s="70">
        <f t="shared" si="238"/>
        <v>0</v>
      </c>
      <c r="BY85" s="70">
        <f t="shared" si="238"/>
        <v>0</v>
      </c>
      <c r="BZ85" s="70">
        <f t="shared" si="238"/>
        <v>0</v>
      </c>
      <c r="CA85" s="70">
        <f t="shared" si="238"/>
        <v>2489.7299999999996</v>
      </c>
      <c r="CB85" s="70">
        <f t="shared" si="238"/>
        <v>0</v>
      </c>
      <c r="CC85" s="70">
        <f t="shared" si="238"/>
        <v>2738.7</v>
      </c>
      <c r="CD85" s="70">
        <f t="shared" si="238"/>
        <v>0</v>
      </c>
      <c r="CE85" s="70">
        <f t="shared" si="238"/>
        <v>229</v>
      </c>
      <c r="CF85" s="70">
        <f t="shared" si="238"/>
        <v>0</v>
      </c>
      <c r="CG85" s="70">
        <f t="shared" si="238"/>
        <v>622.43000000000006</v>
      </c>
      <c r="CH85" s="96">
        <f t="shared" si="238"/>
        <v>0</v>
      </c>
      <c r="CI85" s="70">
        <f t="shared" si="238"/>
        <v>0</v>
      </c>
      <c r="CJ85" s="70">
        <f t="shared" si="238"/>
        <v>0</v>
      </c>
      <c r="CK85" s="70">
        <f t="shared" si="238"/>
        <v>690</v>
      </c>
      <c r="CL85" s="70">
        <f t="shared" si="238"/>
        <v>0</v>
      </c>
      <c r="CM85" s="70">
        <f t="shared" si="238"/>
        <v>0</v>
      </c>
      <c r="CN85" s="70">
        <f t="shared" si="238"/>
        <v>0</v>
      </c>
      <c r="CO85" s="70">
        <f t="shared" si="238"/>
        <v>3390</v>
      </c>
      <c r="CP85" s="70">
        <f t="shared" ref="CP85:FA85" si="239">+CP83+CP84</f>
        <v>0</v>
      </c>
      <c r="CQ85" s="70">
        <f t="shared" si="239"/>
        <v>2760</v>
      </c>
      <c r="CR85" s="70">
        <f t="shared" si="239"/>
        <v>0</v>
      </c>
      <c r="CS85" s="70">
        <f t="shared" si="239"/>
        <v>2760</v>
      </c>
      <c r="CT85" s="70">
        <f t="shared" si="239"/>
        <v>0</v>
      </c>
      <c r="CU85" s="70">
        <f t="shared" si="239"/>
        <v>2760</v>
      </c>
      <c r="CV85" s="70">
        <f t="shared" si="239"/>
        <v>0</v>
      </c>
      <c r="CW85" s="70">
        <f t="shared" si="239"/>
        <v>690</v>
      </c>
      <c r="CX85" s="70">
        <f t="shared" si="239"/>
        <v>0</v>
      </c>
      <c r="CY85" s="70">
        <f t="shared" si="239"/>
        <v>25</v>
      </c>
      <c r="CZ85" s="70">
        <f t="shared" si="239"/>
        <v>0</v>
      </c>
      <c r="DA85" s="70">
        <f t="shared" si="239"/>
        <v>1634</v>
      </c>
      <c r="DB85" s="70">
        <f t="shared" si="239"/>
        <v>0</v>
      </c>
      <c r="DC85" s="70">
        <f t="shared" si="239"/>
        <v>1627.5</v>
      </c>
      <c r="DD85" s="70">
        <f t="shared" si="239"/>
        <v>0</v>
      </c>
      <c r="DE85" s="70">
        <f t="shared" si="239"/>
        <v>6.5</v>
      </c>
      <c r="DF85" s="70">
        <f t="shared" si="239"/>
        <v>0</v>
      </c>
      <c r="DG85" s="70">
        <f t="shared" si="239"/>
        <v>690</v>
      </c>
      <c r="DH85" s="70">
        <f t="shared" si="239"/>
        <v>0</v>
      </c>
      <c r="DI85" s="70">
        <f t="shared" si="239"/>
        <v>683.5</v>
      </c>
      <c r="DJ85" s="70">
        <f t="shared" si="239"/>
        <v>0</v>
      </c>
      <c r="DK85" s="70">
        <f t="shared" si="239"/>
        <v>27</v>
      </c>
      <c r="DL85" s="70">
        <f t="shared" si="239"/>
        <v>0</v>
      </c>
      <c r="DM85" s="70">
        <f t="shared" si="239"/>
        <v>2344.5</v>
      </c>
      <c r="DN85" s="70">
        <f t="shared" si="239"/>
        <v>0</v>
      </c>
      <c r="DO85" s="97">
        <f t="shared" si="239"/>
        <v>2340.15</v>
      </c>
      <c r="DP85" s="98">
        <f t="shared" si="239"/>
        <v>0</v>
      </c>
      <c r="DQ85" s="98">
        <f t="shared" si="239"/>
        <v>4.3499999999999996</v>
      </c>
      <c r="DR85" s="98">
        <f t="shared" si="239"/>
        <v>0</v>
      </c>
      <c r="DS85" s="98">
        <f t="shared" si="239"/>
        <v>234.01499999999999</v>
      </c>
      <c r="DT85" s="98">
        <f t="shared" si="239"/>
        <v>0</v>
      </c>
      <c r="DU85" s="98">
        <f t="shared" si="239"/>
        <v>229.66499999999999</v>
      </c>
      <c r="DV85" s="98">
        <f t="shared" si="239"/>
        <v>0</v>
      </c>
      <c r="DW85" s="98">
        <f t="shared" si="239"/>
        <v>0</v>
      </c>
      <c r="DX85" s="98">
        <f t="shared" si="239"/>
        <v>0</v>
      </c>
      <c r="DY85" s="98">
        <f t="shared" si="239"/>
        <v>229.67</v>
      </c>
      <c r="DZ85" s="98">
        <f t="shared" si="239"/>
        <v>0</v>
      </c>
      <c r="EA85" s="98">
        <f t="shared" si="239"/>
        <v>0</v>
      </c>
      <c r="EB85" s="134">
        <f t="shared" si="239"/>
        <v>0</v>
      </c>
      <c r="EC85" s="140">
        <f t="shared" si="239"/>
        <v>2574.17</v>
      </c>
      <c r="ED85" s="140">
        <f t="shared" si="239"/>
        <v>0</v>
      </c>
      <c r="EE85" s="140">
        <f t="shared" si="239"/>
        <v>2573.7399999999998</v>
      </c>
      <c r="EF85" s="140">
        <f t="shared" si="239"/>
        <v>0</v>
      </c>
      <c r="EG85" s="140">
        <f t="shared" si="239"/>
        <v>199.91</v>
      </c>
      <c r="EH85" s="140" t="e">
        <f t="shared" si="239"/>
        <v>#DIV/0!</v>
      </c>
      <c r="EI85" s="140">
        <f t="shared" si="239"/>
        <v>0.43</v>
      </c>
      <c r="EJ85" s="140">
        <f t="shared" si="239"/>
        <v>0</v>
      </c>
      <c r="EK85" s="140">
        <f t="shared" si="239"/>
        <v>233.98</v>
      </c>
      <c r="EL85" s="140">
        <f t="shared" si="239"/>
        <v>0</v>
      </c>
      <c r="EM85" s="140">
        <f t="shared" si="239"/>
        <v>233.54999999999998</v>
      </c>
      <c r="EN85" s="140">
        <f t="shared" si="239"/>
        <v>0</v>
      </c>
      <c r="EO85" s="140">
        <f t="shared" si="239"/>
        <v>230</v>
      </c>
      <c r="EP85" s="140">
        <f t="shared" si="239"/>
        <v>0</v>
      </c>
      <c r="EQ85" s="136">
        <f t="shared" si="239"/>
        <v>0</v>
      </c>
      <c r="ER85" s="47">
        <f t="shared" si="239"/>
        <v>0</v>
      </c>
      <c r="ES85" s="47">
        <f t="shared" si="239"/>
        <v>0</v>
      </c>
      <c r="ET85" s="47">
        <f t="shared" si="239"/>
        <v>0</v>
      </c>
      <c r="EU85" s="5">
        <f t="shared" si="88"/>
        <v>605.15000000000009</v>
      </c>
      <c r="EV85" s="5">
        <f t="shared" si="88"/>
        <v>0</v>
      </c>
      <c r="EW85" s="46">
        <f t="shared" si="239"/>
        <v>3409.32</v>
      </c>
      <c r="EX85" s="46">
        <f t="shared" si="239"/>
        <v>0</v>
      </c>
      <c r="EY85" s="46">
        <f t="shared" si="239"/>
        <v>3714.86</v>
      </c>
      <c r="EZ85" s="46">
        <f t="shared" si="239"/>
        <v>0</v>
      </c>
      <c r="FA85" s="46">
        <f t="shared" si="239"/>
        <v>0</v>
      </c>
      <c r="FB85" s="46">
        <f t="shared" ref="FB85:FF85" si="240">+FB83+FB84</f>
        <v>0</v>
      </c>
      <c r="FC85" s="46">
        <f t="shared" si="240"/>
        <v>0</v>
      </c>
      <c r="FD85" s="46">
        <f t="shared" si="240"/>
        <v>0</v>
      </c>
      <c r="FE85" s="46">
        <f t="shared" si="240"/>
        <v>0</v>
      </c>
      <c r="FF85" s="46">
        <f t="shared" si="240"/>
        <v>0</v>
      </c>
    </row>
    <row r="86" spans="1:162" ht="18.75" x14ac:dyDescent="0.25">
      <c r="A86" s="68">
        <v>65</v>
      </c>
      <c r="B86" s="68" t="s">
        <v>227</v>
      </c>
      <c r="C86" s="91" t="s">
        <v>228</v>
      </c>
      <c r="D86" s="67" t="s">
        <v>229</v>
      </c>
      <c r="E86" s="69" t="s">
        <v>230</v>
      </c>
      <c r="F86" s="40">
        <v>525.37999999999988</v>
      </c>
      <c r="G86" s="40">
        <v>0</v>
      </c>
      <c r="H86" s="40">
        <v>525.37999999999988</v>
      </c>
      <c r="I86" s="70">
        <v>0</v>
      </c>
      <c r="J86" s="71">
        <v>553</v>
      </c>
      <c r="K86" s="71">
        <v>0</v>
      </c>
      <c r="L86" s="71">
        <v>0</v>
      </c>
      <c r="M86" s="71">
        <f>J86+K86+L86</f>
        <v>553</v>
      </c>
      <c r="N86" s="71">
        <v>0</v>
      </c>
      <c r="O86" s="71">
        <v>0</v>
      </c>
      <c r="P86" s="71">
        <v>0</v>
      </c>
      <c r="Q86" s="71">
        <f>N86+O86+P86</f>
        <v>0</v>
      </c>
      <c r="R86" s="71">
        <f>+Q86+M86</f>
        <v>553</v>
      </c>
      <c r="S86" s="71">
        <v>0</v>
      </c>
      <c r="T86" s="92"/>
      <c r="U86" s="92"/>
      <c r="V86" s="70">
        <f t="shared" ref="V86:V88" si="241">ROUND(H86*1.0583,2)</f>
        <v>556.01</v>
      </c>
      <c r="W86" s="70">
        <f t="shared" ref="W86:W88" si="242">ROUND(I86*1.0327,2)</f>
        <v>0</v>
      </c>
      <c r="X86" s="70">
        <f t="shared" si="170"/>
        <v>-3.0099999999999909</v>
      </c>
      <c r="Y86" s="70">
        <f t="shared" si="170"/>
        <v>0</v>
      </c>
      <c r="Z86" s="70">
        <v>553</v>
      </c>
      <c r="AA86" s="70"/>
      <c r="AB86" s="70">
        <f t="shared" si="182"/>
        <v>553</v>
      </c>
      <c r="AC86" s="43">
        <f t="shared" si="183"/>
        <v>0</v>
      </c>
      <c r="AD86" s="70">
        <f t="shared" ref="AD86:AE87" si="243">IF(X86&gt;0,V86,R86)</f>
        <v>553</v>
      </c>
      <c r="AE86" s="70">
        <f t="shared" si="243"/>
        <v>0</v>
      </c>
      <c r="AF86" s="70">
        <f t="shared" si="184"/>
        <v>0</v>
      </c>
      <c r="AG86" s="43">
        <f t="shared" si="171"/>
        <v>138</v>
      </c>
      <c r="AH86" s="43">
        <f t="shared" si="171"/>
        <v>0</v>
      </c>
      <c r="AI86" s="93">
        <f t="shared" si="172"/>
        <v>46</v>
      </c>
      <c r="AJ86" s="43">
        <f t="shared" si="172"/>
        <v>0</v>
      </c>
      <c r="AK86" s="43"/>
      <c r="AL86" s="43"/>
      <c r="AM86" s="43">
        <f t="shared" si="185"/>
        <v>138.25</v>
      </c>
      <c r="AN86" s="43">
        <f t="shared" si="186"/>
        <v>0</v>
      </c>
      <c r="AO86" s="43"/>
      <c r="AP86" s="43"/>
      <c r="AQ86" s="43">
        <f t="shared" si="173"/>
        <v>276.25</v>
      </c>
      <c r="AR86" s="43">
        <f t="shared" si="173"/>
        <v>0</v>
      </c>
      <c r="AS86" s="43"/>
      <c r="AT86" s="43"/>
      <c r="AU86" s="43">
        <f t="shared" si="165"/>
        <v>138.25</v>
      </c>
      <c r="AV86" s="43">
        <f t="shared" si="165"/>
        <v>0</v>
      </c>
      <c r="AW86" s="43">
        <v>35</v>
      </c>
      <c r="AX86" s="43"/>
      <c r="AY86" s="43">
        <f t="shared" si="166"/>
        <v>495.5</v>
      </c>
      <c r="AZ86" s="43">
        <f t="shared" si="166"/>
        <v>0</v>
      </c>
      <c r="BA86" s="43">
        <f t="shared" si="167"/>
        <v>495.5</v>
      </c>
      <c r="BB86" s="60">
        <v>497.87</v>
      </c>
      <c r="BC86" s="60"/>
      <c r="BD86" s="60">
        <f t="shared" si="168"/>
        <v>-2.3700000000000045</v>
      </c>
      <c r="BE86" s="60">
        <f t="shared" si="168"/>
        <v>0</v>
      </c>
      <c r="BF86" s="60">
        <f t="shared" si="169"/>
        <v>99.57</v>
      </c>
      <c r="BG86" s="60">
        <f t="shared" si="169"/>
        <v>0</v>
      </c>
      <c r="BH86" s="43">
        <v>37.85</v>
      </c>
      <c r="BI86" s="43">
        <v>0</v>
      </c>
      <c r="BJ86" s="43"/>
      <c r="BK86" s="43"/>
      <c r="BL86" s="43">
        <f t="shared" si="180"/>
        <v>533.35</v>
      </c>
      <c r="BM86" s="43">
        <f t="shared" si="180"/>
        <v>0</v>
      </c>
      <c r="BN86" s="43">
        <f t="shared" si="187"/>
        <v>533.35</v>
      </c>
      <c r="BO86" s="43">
        <v>546.41999999999996</v>
      </c>
      <c r="BP86" s="93"/>
      <c r="BQ86" s="43">
        <f t="shared" si="188"/>
        <v>-13.069999999999936</v>
      </c>
      <c r="BR86" s="43">
        <f t="shared" si="188"/>
        <v>0</v>
      </c>
      <c r="BS86" s="43">
        <f t="shared" si="189"/>
        <v>49.67</v>
      </c>
      <c r="BT86" s="43">
        <f t="shared" si="189"/>
        <v>0</v>
      </c>
      <c r="BU86" s="43">
        <v>62.74</v>
      </c>
      <c r="BV86" s="43">
        <f t="shared" si="222"/>
        <v>0</v>
      </c>
      <c r="BW86" s="43">
        <v>20.5</v>
      </c>
      <c r="BX86" s="43"/>
      <c r="BY86" s="43"/>
      <c r="BZ86" s="43"/>
      <c r="CA86" s="43">
        <v>616.59</v>
      </c>
      <c r="CB86" s="43">
        <v>0</v>
      </c>
      <c r="CC86" s="92">
        <v>678.25</v>
      </c>
      <c r="CD86" s="92">
        <v>0</v>
      </c>
      <c r="CE86" s="92">
        <v>57</v>
      </c>
      <c r="CF86" s="92">
        <v>0</v>
      </c>
      <c r="CG86" s="92">
        <f t="shared" si="190"/>
        <v>154.15</v>
      </c>
      <c r="CH86" s="92">
        <f t="shared" si="190"/>
        <v>0</v>
      </c>
      <c r="CI86" s="43"/>
      <c r="CJ86" s="43"/>
      <c r="CK86" s="43">
        <v>161</v>
      </c>
      <c r="CL86" s="43">
        <v>0</v>
      </c>
      <c r="CM86" s="43"/>
      <c r="CN86" s="43"/>
      <c r="CO86" s="43">
        <v>608</v>
      </c>
      <c r="CP86" s="43"/>
      <c r="CQ86" s="43">
        <f t="shared" si="191"/>
        <v>644</v>
      </c>
      <c r="CR86" s="43">
        <f t="shared" si="191"/>
        <v>0</v>
      </c>
      <c r="CS86" s="43">
        <f t="shared" si="192"/>
        <v>608</v>
      </c>
      <c r="CT86" s="43">
        <f t="shared" si="192"/>
        <v>0</v>
      </c>
      <c r="CU86" s="43">
        <f t="shared" si="192"/>
        <v>608</v>
      </c>
      <c r="CV86" s="43">
        <f t="shared" si="192"/>
        <v>0</v>
      </c>
      <c r="CW86" s="43">
        <f t="shared" si="193"/>
        <v>152</v>
      </c>
      <c r="CX86" s="43">
        <f t="shared" si="193"/>
        <v>0</v>
      </c>
      <c r="CY86" s="43">
        <v>15</v>
      </c>
      <c r="CZ86" s="43"/>
      <c r="DA86" s="43">
        <f t="shared" si="194"/>
        <v>385</v>
      </c>
      <c r="DB86" s="43">
        <f t="shared" si="194"/>
        <v>0</v>
      </c>
      <c r="DC86" s="43">
        <v>380.35</v>
      </c>
      <c r="DD86" s="43">
        <v>0</v>
      </c>
      <c r="DE86" s="43">
        <f t="shared" si="195"/>
        <v>4.6499999999999773</v>
      </c>
      <c r="DF86" s="43">
        <f t="shared" si="195"/>
        <v>0</v>
      </c>
      <c r="DG86" s="43">
        <f t="shared" ref="DG86:DH88" si="244">ROUND(0.25*(MIN(CU86,EW86)),2)</f>
        <v>152</v>
      </c>
      <c r="DH86" s="43">
        <f t="shared" si="244"/>
        <v>0</v>
      </c>
      <c r="DI86" s="43">
        <f t="shared" si="196"/>
        <v>147.35000000000002</v>
      </c>
      <c r="DJ86" s="43">
        <f>+DH86-DF86</f>
        <v>0</v>
      </c>
      <c r="DK86" s="43"/>
      <c r="DL86" s="43"/>
      <c r="DM86" s="43">
        <f t="shared" si="197"/>
        <v>532.35</v>
      </c>
      <c r="DN86" s="43">
        <f t="shared" si="197"/>
        <v>0</v>
      </c>
      <c r="DO86" s="94">
        <v>562.48</v>
      </c>
      <c r="DP86" s="103">
        <v>0</v>
      </c>
      <c r="DQ86" s="60">
        <f t="shared" si="198"/>
        <v>-30.13</v>
      </c>
      <c r="DR86" s="60">
        <f t="shared" si="198"/>
        <v>0</v>
      </c>
      <c r="DS86" s="60">
        <f t="shared" si="199"/>
        <v>56.248000000000005</v>
      </c>
      <c r="DT86" s="60">
        <f t="shared" si="199"/>
        <v>0</v>
      </c>
      <c r="DU86" s="60">
        <f t="shared" si="200"/>
        <v>86.378</v>
      </c>
      <c r="DV86" s="60">
        <f t="shared" si="200"/>
        <v>0</v>
      </c>
      <c r="DW86" s="60"/>
      <c r="DX86" s="60"/>
      <c r="DY86" s="60">
        <f t="shared" si="214"/>
        <v>86.38</v>
      </c>
      <c r="DZ86" s="60">
        <f t="shared" si="181"/>
        <v>0</v>
      </c>
      <c r="EA86" s="60"/>
      <c r="EB86" s="60"/>
      <c r="EC86" s="43">
        <f t="shared" si="201"/>
        <v>618.73</v>
      </c>
      <c r="ED86" s="43">
        <f t="shared" si="201"/>
        <v>0</v>
      </c>
      <c r="EE86" s="43">
        <v>619.52</v>
      </c>
      <c r="EF86" s="43"/>
      <c r="EG86" s="43">
        <f t="shared" ref="EG86:EH149" si="245">ROUND(EE86/EC86*100,2)</f>
        <v>100.13</v>
      </c>
      <c r="EH86" s="43" t="e">
        <f t="shared" si="245"/>
        <v>#DIV/0!</v>
      </c>
      <c r="EI86" s="43">
        <f t="shared" si="202"/>
        <v>-0.79</v>
      </c>
      <c r="EJ86" s="43">
        <f t="shared" si="202"/>
        <v>0</v>
      </c>
      <c r="EK86" s="43">
        <f t="shared" si="203"/>
        <v>56.32</v>
      </c>
      <c r="EL86" s="43">
        <f t="shared" si="203"/>
        <v>0</v>
      </c>
      <c r="EM86" s="43">
        <f t="shared" si="204"/>
        <v>57.11</v>
      </c>
      <c r="EN86" s="43">
        <f t="shared" si="204"/>
        <v>0</v>
      </c>
      <c r="EO86" s="43">
        <v>70</v>
      </c>
      <c r="EP86" s="43">
        <v>0</v>
      </c>
      <c r="EQ86" s="5"/>
      <c r="ER86" s="5"/>
      <c r="ES86" s="5"/>
      <c r="ET86" s="5"/>
      <c r="EU86" s="5">
        <f t="shared" si="88"/>
        <v>-4.7300000000000182</v>
      </c>
      <c r="EV86" s="5">
        <f t="shared" si="88"/>
        <v>0</v>
      </c>
      <c r="EW86" s="5">
        <v>684</v>
      </c>
      <c r="EY86" s="5">
        <v>750</v>
      </c>
    </row>
    <row r="87" spans="1:162" ht="37.5" x14ac:dyDescent="0.25">
      <c r="A87" s="68">
        <v>66</v>
      </c>
      <c r="B87" s="68" t="s">
        <v>231</v>
      </c>
      <c r="C87" s="91" t="s">
        <v>232</v>
      </c>
      <c r="D87" s="67" t="s">
        <v>233</v>
      </c>
      <c r="E87" s="69" t="s">
        <v>234</v>
      </c>
      <c r="F87" s="40">
        <v>365.35</v>
      </c>
      <c r="G87" s="40">
        <v>0</v>
      </c>
      <c r="H87" s="40">
        <v>365.35</v>
      </c>
      <c r="I87" s="70">
        <v>0</v>
      </c>
      <c r="J87" s="71">
        <v>500</v>
      </c>
      <c r="K87" s="71">
        <v>0</v>
      </c>
      <c r="L87" s="71">
        <v>0</v>
      </c>
      <c r="M87" s="71">
        <f t="shared" ref="M87:M112" si="246">J87+K87+L87</f>
        <v>500</v>
      </c>
      <c r="N87" s="71">
        <v>0</v>
      </c>
      <c r="O87" s="71">
        <v>0</v>
      </c>
      <c r="P87" s="71">
        <v>0</v>
      </c>
      <c r="Q87" s="71">
        <f t="shared" ref="Q87:Q92" si="247">N87+O87+P87</f>
        <v>0</v>
      </c>
      <c r="R87" s="71">
        <f>+Q87+M87</f>
        <v>500</v>
      </c>
      <c r="S87" s="71">
        <v>0</v>
      </c>
      <c r="T87" s="92"/>
      <c r="U87" s="92"/>
      <c r="V87" s="70">
        <f t="shared" si="241"/>
        <v>386.65</v>
      </c>
      <c r="W87" s="70">
        <f t="shared" si="242"/>
        <v>0</v>
      </c>
      <c r="X87" s="70">
        <f t="shared" si="170"/>
        <v>113.35000000000002</v>
      </c>
      <c r="Y87" s="70">
        <f t="shared" si="170"/>
        <v>0</v>
      </c>
      <c r="Z87" s="70">
        <v>386.65</v>
      </c>
      <c r="AA87" s="70"/>
      <c r="AB87" s="70">
        <f t="shared" si="182"/>
        <v>386.65</v>
      </c>
      <c r="AC87" s="43">
        <f t="shared" si="183"/>
        <v>0</v>
      </c>
      <c r="AD87" s="70">
        <f t="shared" si="243"/>
        <v>386.65</v>
      </c>
      <c r="AE87" s="70">
        <f t="shared" si="243"/>
        <v>0</v>
      </c>
      <c r="AF87" s="70">
        <f t="shared" si="184"/>
        <v>0</v>
      </c>
      <c r="AG87" s="43">
        <f t="shared" si="171"/>
        <v>97</v>
      </c>
      <c r="AH87" s="43">
        <f t="shared" si="171"/>
        <v>0</v>
      </c>
      <c r="AI87" s="93">
        <f t="shared" si="172"/>
        <v>32</v>
      </c>
      <c r="AJ87" s="43">
        <f t="shared" si="172"/>
        <v>0</v>
      </c>
      <c r="AK87" s="43">
        <v>7</v>
      </c>
      <c r="AL87" s="43"/>
      <c r="AM87" s="43">
        <f t="shared" si="185"/>
        <v>96.66</v>
      </c>
      <c r="AN87" s="43">
        <f t="shared" si="186"/>
        <v>0</v>
      </c>
      <c r="AO87" s="43"/>
      <c r="AP87" s="43"/>
      <c r="AQ87" s="43">
        <f t="shared" si="173"/>
        <v>200.66</v>
      </c>
      <c r="AR87" s="43">
        <f t="shared" si="173"/>
        <v>0</v>
      </c>
      <c r="AS87" s="43">
        <v>15</v>
      </c>
      <c r="AT87" s="43"/>
      <c r="AU87" s="43">
        <f t="shared" si="165"/>
        <v>96.66</v>
      </c>
      <c r="AV87" s="43">
        <f t="shared" si="165"/>
        <v>0</v>
      </c>
      <c r="AW87" s="43">
        <v>42</v>
      </c>
      <c r="AX87" s="43">
        <v>10</v>
      </c>
      <c r="AY87" s="43">
        <f t="shared" si="166"/>
        <v>386.32</v>
      </c>
      <c r="AZ87" s="43">
        <f t="shared" si="166"/>
        <v>10</v>
      </c>
      <c r="BA87" s="43">
        <f t="shared" si="167"/>
        <v>396.32</v>
      </c>
      <c r="BB87" s="60">
        <v>389.81</v>
      </c>
      <c r="BC87" s="60"/>
      <c r="BD87" s="60">
        <f t="shared" si="168"/>
        <v>-3.4900000000000091</v>
      </c>
      <c r="BE87" s="60">
        <f t="shared" si="168"/>
        <v>10</v>
      </c>
      <c r="BF87" s="60">
        <f t="shared" si="169"/>
        <v>77.959999999999994</v>
      </c>
      <c r="BG87" s="60">
        <f t="shared" si="169"/>
        <v>0</v>
      </c>
      <c r="BH87" s="43">
        <v>40.729999999999997</v>
      </c>
      <c r="BI87" s="43">
        <v>0</v>
      </c>
      <c r="BJ87" s="43"/>
      <c r="BK87" s="43"/>
      <c r="BL87" s="43">
        <f t="shared" si="180"/>
        <v>427.05</v>
      </c>
      <c r="BM87" s="43">
        <f t="shared" si="180"/>
        <v>10</v>
      </c>
      <c r="BN87" s="43">
        <f t="shared" si="187"/>
        <v>437.05</v>
      </c>
      <c r="BO87" s="43">
        <v>425.81</v>
      </c>
      <c r="BP87" s="93"/>
      <c r="BQ87" s="43">
        <f t="shared" si="188"/>
        <v>1.2400000000000091</v>
      </c>
      <c r="BR87" s="43">
        <f t="shared" si="188"/>
        <v>10</v>
      </c>
      <c r="BS87" s="43">
        <f t="shared" si="189"/>
        <v>38.71</v>
      </c>
      <c r="BT87" s="43">
        <f t="shared" si="189"/>
        <v>0</v>
      </c>
      <c r="BU87" s="43">
        <v>23</v>
      </c>
      <c r="BV87" s="43">
        <v>0</v>
      </c>
      <c r="BW87" s="43"/>
      <c r="BX87" s="43"/>
      <c r="BY87" s="43"/>
      <c r="BZ87" s="43"/>
      <c r="CA87" s="43">
        <v>450.05</v>
      </c>
      <c r="CB87" s="43">
        <v>10</v>
      </c>
      <c r="CC87" s="92">
        <v>495.06</v>
      </c>
      <c r="CD87" s="92">
        <v>11.5</v>
      </c>
      <c r="CE87" s="92">
        <v>41</v>
      </c>
      <c r="CF87" s="92">
        <v>0</v>
      </c>
      <c r="CG87" s="92">
        <f t="shared" si="190"/>
        <v>112.51</v>
      </c>
      <c r="CH87" s="92">
        <f t="shared" si="190"/>
        <v>2.5</v>
      </c>
      <c r="CI87" s="43"/>
      <c r="CJ87" s="43"/>
      <c r="CK87" s="43">
        <v>116</v>
      </c>
      <c r="CL87" s="43">
        <v>0</v>
      </c>
      <c r="CM87" s="43"/>
      <c r="CN87" s="43"/>
      <c r="CO87" s="43"/>
      <c r="CP87" s="43"/>
      <c r="CQ87" s="43">
        <f t="shared" si="191"/>
        <v>464</v>
      </c>
      <c r="CR87" s="43">
        <f t="shared" si="191"/>
        <v>0</v>
      </c>
      <c r="CS87" s="43">
        <v>450</v>
      </c>
      <c r="CT87" s="43">
        <f t="shared" si="192"/>
        <v>0</v>
      </c>
      <c r="CU87" s="43">
        <v>530</v>
      </c>
      <c r="CV87" s="43">
        <v>83.62</v>
      </c>
      <c r="CW87" s="43">
        <f t="shared" si="193"/>
        <v>132.5</v>
      </c>
      <c r="CX87" s="43">
        <f t="shared" si="193"/>
        <v>20.91</v>
      </c>
      <c r="CY87" s="43"/>
      <c r="CZ87" s="43"/>
      <c r="DA87" s="43">
        <f t="shared" si="194"/>
        <v>289.5</v>
      </c>
      <c r="DB87" s="43">
        <f t="shared" si="194"/>
        <v>20.91</v>
      </c>
      <c r="DC87" s="43">
        <v>256.07</v>
      </c>
      <c r="DD87" s="43">
        <v>0</v>
      </c>
      <c r="DE87" s="43">
        <f t="shared" si="195"/>
        <v>33.430000000000007</v>
      </c>
      <c r="DF87" s="43">
        <f t="shared" si="195"/>
        <v>20.91</v>
      </c>
      <c r="DG87" s="43">
        <f t="shared" si="244"/>
        <v>105.84</v>
      </c>
      <c r="DH87" s="43">
        <f t="shared" si="244"/>
        <v>20.91</v>
      </c>
      <c r="DI87" s="43">
        <f t="shared" si="196"/>
        <v>72.41</v>
      </c>
      <c r="DJ87" s="43">
        <f>+DH87-DF87</f>
        <v>0</v>
      </c>
      <c r="DK87" s="43">
        <v>6</v>
      </c>
      <c r="DL87" s="43"/>
      <c r="DM87" s="43">
        <f t="shared" si="197"/>
        <v>367.90999999999997</v>
      </c>
      <c r="DN87" s="43">
        <f t="shared" si="197"/>
        <v>20.91</v>
      </c>
      <c r="DO87" s="94">
        <v>367.37</v>
      </c>
      <c r="DP87" s="95">
        <v>0</v>
      </c>
      <c r="DQ87" s="60">
        <f t="shared" si="198"/>
        <v>0.54</v>
      </c>
      <c r="DR87" s="60">
        <f t="shared" si="198"/>
        <v>20.91</v>
      </c>
      <c r="DS87" s="60">
        <f t="shared" si="199"/>
        <v>36.737000000000002</v>
      </c>
      <c r="DT87" s="60">
        <f t="shared" si="199"/>
        <v>0</v>
      </c>
      <c r="DU87" s="60">
        <f t="shared" si="200"/>
        <v>36.197000000000003</v>
      </c>
      <c r="DV87" s="60">
        <f t="shared" si="200"/>
        <v>-20.91</v>
      </c>
      <c r="DW87" s="60"/>
      <c r="DX87" s="60"/>
      <c r="DY87" s="60">
        <f t="shared" si="214"/>
        <v>36.200000000000003</v>
      </c>
      <c r="DZ87" s="60">
        <v>0</v>
      </c>
      <c r="EA87" s="60"/>
      <c r="EB87" s="60">
        <v>63.26</v>
      </c>
      <c r="EC87" s="43">
        <f t="shared" si="201"/>
        <v>404.10999999999996</v>
      </c>
      <c r="ED87" s="43">
        <f t="shared" si="201"/>
        <v>84.17</v>
      </c>
      <c r="EE87" s="43">
        <v>402.04</v>
      </c>
      <c r="EF87" s="43">
        <v>19.899999999999999</v>
      </c>
      <c r="EG87" s="43">
        <f t="shared" si="245"/>
        <v>99.49</v>
      </c>
      <c r="EH87" s="43">
        <f t="shared" si="245"/>
        <v>23.64</v>
      </c>
      <c r="EI87" s="43">
        <f t="shared" si="202"/>
        <v>2.0699999999999998</v>
      </c>
      <c r="EJ87" s="43">
        <f t="shared" si="202"/>
        <v>64.27</v>
      </c>
      <c r="EK87" s="43">
        <f t="shared" si="203"/>
        <v>36.549999999999997</v>
      </c>
      <c r="EL87" s="43">
        <f t="shared" si="203"/>
        <v>1.81</v>
      </c>
      <c r="EM87" s="43">
        <f t="shared" si="204"/>
        <v>34.479999999999997</v>
      </c>
      <c r="EN87" s="43">
        <f t="shared" si="204"/>
        <v>-62.459999999999994</v>
      </c>
      <c r="EO87" s="43">
        <v>40.78</v>
      </c>
      <c r="EP87" s="43">
        <v>0</v>
      </c>
      <c r="EQ87" s="5"/>
      <c r="ER87" s="5"/>
      <c r="ES87" s="5"/>
      <c r="ET87" s="5"/>
      <c r="EU87" s="5">
        <f t="shared" si="88"/>
        <v>-21.529999999999944</v>
      </c>
      <c r="EV87" s="5">
        <f t="shared" si="88"/>
        <v>-0.54999999999999716</v>
      </c>
      <c r="EW87" s="5">
        <v>423.36</v>
      </c>
      <c r="EX87" s="5">
        <v>83.62</v>
      </c>
      <c r="EY87" s="5">
        <v>470</v>
      </c>
    </row>
    <row r="88" spans="1:162" ht="37.5" x14ac:dyDescent="0.25">
      <c r="A88" s="68"/>
      <c r="B88" s="68" t="s">
        <v>235</v>
      </c>
      <c r="C88" s="91" t="s">
        <v>183</v>
      </c>
      <c r="D88" s="105" t="s">
        <v>236</v>
      </c>
      <c r="E88" s="69" t="s">
        <v>237</v>
      </c>
      <c r="F88" s="40">
        <v>335.28</v>
      </c>
      <c r="G88" s="40">
        <v>0</v>
      </c>
      <c r="H88" s="40">
        <v>361</v>
      </c>
      <c r="I88" s="70">
        <v>0</v>
      </c>
      <c r="J88" s="71">
        <v>339</v>
      </c>
      <c r="K88" s="71">
        <v>0</v>
      </c>
      <c r="L88" s="71">
        <v>0</v>
      </c>
      <c r="M88" s="71">
        <f t="shared" si="246"/>
        <v>339</v>
      </c>
      <c r="N88" s="71">
        <v>96</v>
      </c>
      <c r="O88" s="71">
        <v>0</v>
      </c>
      <c r="P88" s="71">
        <v>0</v>
      </c>
      <c r="Q88" s="71">
        <f t="shared" si="247"/>
        <v>96</v>
      </c>
      <c r="R88" s="71">
        <f>+Q88+M88</f>
        <v>435</v>
      </c>
      <c r="S88" s="71"/>
      <c r="T88" s="92"/>
      <c r="U88" s="92"/>
      <c r="V88" s="70">
        <f t="shared" si="241"/>
        <v>382.05</v>
      </c>
      <c r="W88" s="70">
        <f t="shared" si="242"/>
        <v>0</v>
      </c>
      <c r="X88" s="70">
        <f t="shared" si="170"/>
        <v>52.949999999999989</v>
      </c>
      <c r="Y88" s="70">
        <f t="shared" si="170"/>
        <v>0</v>
      </c>
      <c r="Z88" s="70"/>
      <c r="AA88" s="70"/>
      <c r="AB88" s="70"/>
      <c r="AC88" s="43"/>
      <c r="AD88" s="70"/>
      <c r="AE88" s="70"/>
      <c r="AF88" s="70"/>
      <c r="AG88" s="43"/>
      <c r="AH88" s="43"/>
      <c r="AI88" s="9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>
        <f t="shared" si="166"/>
        <v>0</v>
      </c>
      <c r="AZ88" s="43">
        <f t="shared" si="166"/>
        <v>0</v>
      </c>
      <c r="BA88" s="43">
        <f t="shared" si="167"/>
        <v>0</v>
      </c>
      <c r="BB88" s="60"/>
      <c r="BC88" s="60"/>
      <c r="BD88" s="60">
        <f t="shared" si="168"/>
        <v>0</v>
      </c>
      <c r="BE88" s="60">
        <f t="shared" si="168"/>
        <v>0</v>
      </c>
      <c r="BF88" s="60">
        <f t="shared" si="169"/>
        <v>0</v>
      </c>
      <c r="BG88" s="60">
        <f t="shared" si="169"/>
        <v>0</v>
      </c>
      <c r="BH88" s="43">
        <v>0</v>
      </c>
      <c r="BI88" s="43">
        <v>0</v>
      </c>
      <c r="BJ88" s="43"/>
      <c r="BK88" s="43"/>
      <c r="BL88" s="43">
        <f t="shared" si="180"/>
        <v>0</v>
      </c>
      <c r="BM88" s="43">
        <f t="shared" si="180"/>
        <v>0</v>
      </c>
      <c r="BN88" s="43">
        <f t="shared" si="187"/>
        <v>0</v>
      </c>
      <c r="BO88" s="43">
        <f t="shared" ref="BO88:BP88" si="248">+BJ88+BA88+BL88</f>
        <v>0</v>
      </c>
      <c r="BP88" s="93">
        <f t="shared" si="248"/>
        <v>0</v>
      </c>
      <c r="BQ88" s="43">
        <f t="shared" si="188"/>
        <v>0</v>
      </c>
      <c r="BR88" s="43">
        <f t="shared" si="188"/>
        <v>0</v>
      </c>
      <c r="BS88" s="43">
        <f t="shared" si="189"/>
        <v>0</v>
      </c>
      <c r="BT88" s="43">
        <f t="shared" si="189"/>
        <v>0</v>
      </c>
      <c r="BU88" s="43">
        <f t="shared" si="212"/>
        <v>0</v>
      </c>
      <c r="BV88" s="43">
        <f t="shared" si="222"/>
        <v>0</v>
      </c>
      <c r="BW88" s="43"/>
      <c r="BX88" s="43"/>
      <c r="BY88" s="43"/>
      <c r="BZ88" s="43"/>
      <c r="CA88" s="43">
        <v>0</v>
      </c>
      <c r="CB88" s="43">
        <v>0</v>
      </c>
      <c r="CC88" s="92">
        <v>0</v>
      </c>
      <c r="CD88" s="92">
        <v>0</v>
      </c>
      <c r="CE88" s="92">
        <v>0</v>
      </c>
      <c r="CF88" s="92">
        <v>0</v>
      </c>
      <c r="CG88" s="92">
        <f t="shared" si="190"/>
        <v>0</v>
      </c>
      <c r="CH88" s="92">
        <f t="shared" si="190"/>
        <v>0</v>
      </c>
      <c r="CI88" s="43"/>
      <c r="CJ88" s="43"/>
      <c r="CK88" s="43">
        <v>0</v>
      </c>
      <c r="CL88" s="43">
        <v>0</v>
      </c>
      <c r="CM88" s="43"/>
      <c r="CN88" s="43"/>
      <c r="CO88" s="43"/>
      <c r="CP88" s="43"/>
      <c r="CQ88" s="43">
        <f t="shared" si="191"/>
        <v>0</v>
      </c>
      <c r="CR88" s="43">
        <f t="shared" si="191"/>
        <v>0</v>
      </c>
      <c r="CS88" s="43">
        <f t="shared" si="192"/>
        <v>0</v>
      </c>
      <c r="CT88" s="43">
        <f t="shared" si="192"/>
        <v>0</v>
      </c>
      <c r="CU88" s="43">
        <v>0</v>
      </c>
      <c r="CV88" s="43">
        <v>0</v>
      </c>
      <c r="CW88" s="43">
        <f t="shared" si="193"/>
        <v>0</v>
      </c>
      <c r="CX88" s="43">
        <f t="shared" si="193"/>
        <v>0</v>
      </c>
      <c r="CY88" s="43"/>
      <c r="CZ88" s="43"/>
      <c r="DA88" s="43">
        <f t="shared" si="194"/>
        <v>0</v>
      </c>
      <c r="DB88" s="43">
        <f t="shared" si="194"/>
        <v>0</v>
      </c>
      <c r="DC88" s="43">
        <v>0</v>
      </c>
      <c r="DD88" s="43">
        <v>0</v>
      </c>
      <c r="DE88" s="43">
        <f t="shared" si="195"/>
        <v>0</v>
      </c>
      <c r="DF88" s="43">
        <f t="shared" si="195"/>
        <v>0</v>
      </c>
      <c r="DG88" s="43">
        <f t="shared" si="244"/>
        <v>0</v>
      </c>
      <c r="DH88" s="43">
        <f t="shared" si="244"/>
        <v>0</v>
      </c>
      <c r="DI88" s="43">
        <f t="shared" si="196"/>
        <v>0</v>
      </c>
      <c r="DJ88" s="43">
        <f>+DH88-DF88</f>
        <v>0</v>
      </c>
      <c r="DK88" s="43"/>
      <c r="DL88" s="43"/>
      <c r="DM88" s="43">
        <f t="shared" si="197"/>
        <v>0</v>
      </c>
      <c r="DN88" s="43">
        <f t="shared" si="197"/>
        <v>0</v>
      </c>
      <c r="DO88" s="94">
        <v>0</v>
      </c>
      <c r="DP88" s="95">
        <v>0</v>
      </c>
      <c r="DQ88" s="60">
        <f t="shared" si="198"/>
        <v>0</v>
      </c>
      <c r="DR88" s="60">
        <f t="shared" si="198"/>
        <v>0</v>
      </c>
      <c r="DS88" s="60">
        <f t="shared" si="199"/>
        <v>0</v>
      </c>
      <c r="DT88" s="60">
        <f t="shared" si="199"/>
        <v>0</v>
      </c>
      <c r="DU88" s="60">
        <f t="shared" si="200"/>
        <v>0</v>
      </c>
      <c r="DV88" s="60">
        <f t="shared" si="200"/>
        <v>0</v>
      </c>
      <c r="DW88" s="60"/>
      <c r="DX88" s="60"/>
      <c r="DY88" s="60">
        <f t="shared" si="214"/>
        <v>0</v>
      </c>
      <c r="DZ88" s="60">
        <f t="shared" si="181"/>
        <v>0</v>
      </c>
      <c r="EA88" s="60"/>
      <c r="EB88" s="60"/>
      <c r="EC88" s="43">
        <f t="shared" si="201"/>
        <v>0</v>
      </c>
      <c r="ED88" s="43">
        <f t="shared" si="201"/>
        <v>0</v>
      </c>
      <c r="EE88" s="43"/>
      <c r="EF88" s="43"/>
      <c r="EG88" s="43" t="e">
        <f t="shared" si="245"/>
        <v>#DIV/0!</v>
      </c>
      <c r="EH88" s="43" t="e">
        <f t="shared" si="245"/>
        <v>#DIV/0!</v>
      </c>
      <c r="EI88" s="43">
        <f t="shared" si="202"/>
        <v>0</v>
      </c>
      <c r="EJ88" s="43">
        <f t="shared" si="202"/>
        <v>0</v>
      </c>
      <c r="EK88" s="43">
        <f t="shared" si="203"/>
        <v>0</v>
      </c>
      <c r="EL88" s="43">
        <f t="shared" si="203"/>
        <v>0</v>
      </c>
      <c r="EM88" s="43">
        <f t="shared" si="204"/>
        <v>0</v>
      </c>
      <c r="EN88" s="43">
        <f t="shared" si="204"/>
        <v>0</v>
      </c>
      <c r="EO88" s="43">
        <v>0</v>
      </c>
      <c r="EP88" s="43">
        <v>0</v>
      </c>
      <c r="EQ88" s="5"/>
      <c r="ER88" s="5"/>
      <c r="ES88" s="5"/>
      <c r="ET88" s="5"/>
      <c r="EU88" s="5">
        <f t="shared" si="88"/>
        <v>0</v>
      </c>
      <c r="EV88" s="5">
        <f t="shared" si="88"/>
        <v>0</v>
      </c>
      <c r="EW88" s="5">
        <v>0</v>
      </c>
      <c r="EX88" s="5">
        <v>0</v>
      </c>
      <c r="EY88" s="5">
        <v>0</v>
      </c>
      <c r="EZ88" s="5">
        <v>0</v>
      </c>
    </row>
    <row r="89" spans="1:162" s="22" customFormat="1" ht="18.75" x14ac:dyDescent="0.25">
      <c r="A89" s="68"/>
      <c r="B89" s="68"/>
      <c r="C89" s="91"/>
      <c r="D89" s="67" t="s">
        <v>238</v>
      </c>
      <c r="E89" s="69" t="s">
        <v>239</v>
      </c>
      <c r="F89" s="70">
        <v>87788.62999999999</v>
      </c>
      <c r="G89" s="70">
        <v>36316.740000000005</v>
      </c>
      <c r="H89" s="70">
        <v>89104.97</v>
      </c>
      <c r="I89" s="70">
        <v>36681.47</v>
      </c>
      <c r="J89" s="71" t="e">
        <f t="shared" ref="J89:AA89" si="249">+J88+J87+J86+J85+J82+J79+J75+J71+J68+J65+J62+J59+J56+J52+J49+J45+J44+J43+J39+J36+J33+J29+J26+J16+J13+J10+J7</f>
        <v>#REF!</v>
      </c>
      <c r="K89" s="71" t="e">
        <f t="shared" si="249"/>
        <v>#REF!</v>
      </c>
      <c r="L89" s="71" t="e">
        <f t="shared" si="249"/>
        <v>#REF!</v>
      </c>
      <c r="M89" s="71" t="e">
        <f t="shared" si="249"/>
        <v>#REF!</v>
      </c>
      <c r="N89" s="71" t="e">
        <f t="shared" si="249"/>
        <v>#REF!</v>
      </c>
      <c r="O89" s="71" t="e">
        <f t="shared" si="249"/>
        <v>#REF!</v>
      </c>
      <c r="P89" s="71" t="e">
        <f t="shared" si="249"/>
        <v>#REF!</v>
      </c>
      <c r="Q89" s="71" t="e">
        <f t="shared" si="249"/>
        <v>#REF!</v>
      </c>
      <c r="R89" s="71" t="e">
        <f t="shared" si="249"/>
        <v>#REF!</v>
      </c>
      <c r="S89" s="71" t="e">
        <f t="shared" si="249"/>
        <v>#REF!</v>
      </c>
      <c r="T89" s="71" t="e">
        <f t="shared" si="249"/>
        <v>#REF!</v>
      </c>
      <c r="U89" s="71" t="e">
        <f t="shared" si="249"/>
        <v>#REF!</v>
      </c>
      <c r="V89" s="71" t="e">
        <f t="shared" si="249"/>
        <v>#REF!</v>
      </c>
      <c r="W89" s="71" t="e">
        <f t="shared" si="249"/>
        <v>#REF!</v>
      </c>
      <c r="X89" s="71" t="e">
        <f t="shared" si="249"/>
        <v>#REF!</v>
      </c>
      <c r="Y89" s="71" t="e">
        <f t="shared" si="249"/>
        <v>#REF!</v>
      </c>
      <c r="Z89" s="71" t="e">
        <f t="shared" si="249"/>
        <v>#REF!</v>
      </c>
      <c r="AA89" s="71" t="e">
        <f t="shared" si="249"/>
        <v>#REF!</v>
      </c>
      <c r="AB89" s="70" t="e">
        <f t="shared" si="182"/>
        <v>#REF!</v>
      </c>
      <c r="AC89" s="43" t="e">
        <f t="shared" si="183"/>
        <v>#REF!</v>
      </c>
      <c r="AD89" s="70">
        <f t="shared" ref="AD89:CO89" si="250">+AD88+AD87+AD86+AD85+AD82+AD79+AD75+AD71+AD68+AD65+AD62+AD59+AD56+AD52+AD49+AD45+AD44+AD43+AD39+AD36+AD33+AD29+AD26+AD16+AD13+AD10+AD7</f>
        <v>94491.839999999997</v>
      </c>
      <c r="AE89" s="70">
        <f t="shared" si="250"/>
        <v>37642.29</v>
      </c>
      <c r="AF89" s="70">
        <f t="shared" si="250"/>
        <v>36710.85</v>
      </c>
      <c r="AG89" s="70">
        <f t="shared" si="250"/>
        <v>23624</v>
      </c>
      <c r="AH89" s="70">
        <f t="shared" si="250"/>
        <v>9410</v>
      </c>
      <c r="AI89" s="70">
        <f t="shared" si="250"/>
        <v>7874</v>
      </c>
      <c r="AJ89" s="70">
        <f t="shared" si="250"/>
        <v>3137</v>
      </c>
      <c r="AK89" s="70">
        <f t="shared" si="250"/>
        <v>107</v>
      </c>
      <c r="AL89" s="70">
        <f t="shared" si="250"/>
        <v>12.95</v>
      </c>
      <c r="AM89" s="70">
        <f t="shared" si="250"/>
        <v>23622.98</v>
      </c>
      <c r="AN89" s="70">
        <f t="shared" si="250"/>
        <v>9231.07</v>
      </c>
      <c r="AO89" s="70">
        <f t="shared" si="250"/>
        <v>0</v>
      </c>
      <c r="AP89" s="70">
        <f t="shared" si="250"/>
        <v>0</v>
      </c>
      <c r="AQ89" s="70">
        <f t="shared" si="250"/>
        <v>47353.98000000001</v>
      </c>
      <c r="AR89" s="70">
        <f t="shared" si="250"/>
        <v>18654.02</v>
      </c>
      <c r="AS89" s="70">
        <f t="shared" si="250"/>
        <v>410</v>
      </c>
      <c r="AT89" s="70">
        <f t="shared" si="250"/>
        <v>145</v>
      </c>
      <c r="AU89" s="70">
        <f t="shared" si="250"/>
        <v>23694.760000000002</v>
      </c>
      <c r="AV89" s="70">
        <f t="shared" si="250"/>
        <v>11453.33</v>
      </c>
      <c r="AW89" s="70">
        <f t="shared" si="250"/>
        <v>192</v>
      </c>
      <c r="AX89" s="70">
        <f t="shared" si="250"/>
        <v>838.19</v>
      </c>
      <c r="AY89" s="70">
        <f t="shared" si="250"/>
        <v>79524.74000000002</v>
      </c>
      <c r="AZ89" s="70">
        <f t="shared" si="250"/>
        <v>34227.540000000008</v>
      </c>
      <c r="BA89" s="70">
        <f t="shared" si="250"/>
        <v>113752.27999999998</v>
      </c>
      <c r="BB89" s="70">
        <f t="shared" si="250"/>
        <v>75446.880000000005</v>
      </c>
      <c r="BC89" s="70">
        <f t="shared" si="250"/>
        <v>33594.109999999993</v>
      </c>
      <c r="BD89" s="70">
        <f t="shared" si="250"/>
        <v>4077.86</v>
      </c>
      <c r="BE89" s="70">
        <f t="shared" si="250"/>
        <v>633.43000000000143</v>
      </c>
      <c r="BF89" s="70">
        <f t="shared" si="250"/>
        <v>15089.38</v>
      </c>
      <c r="BG89" s="70">
        <f t="shared" si="250"/>
        <v>6718.83</v>
      </c>
      <c r="BH89" s="70">
        <f t="shared" si="250"/>
        <v>6389.8499999999995</v>
      </c>
      <c r="BI89" s="70">
        <f t="shared" si="250"/>
        <v>3028.9</v>
      </c>
      <c r="BJ89" s="70">
        <f t="shared" si="250"/>
        <v>130</v>
      </c>
      <c r="BK89" s="70">
        <f t="shared" si="250"/>
        <v>70.28</v>
      </c>
      <c r="BL89" s="70">
        <f t="shared" si="250"/>
        <v>86044.589999999982</v>
      </c>
      <c r="BM89" s="70">
        <f t="shared" si="250"/>
        <v>37326.720000000001</v>
      </c>
      <c r="BN89" s="70">
        <f t="shared" si="250"/>
        <v>127078.82999999999</v>
      </c>
      <c r="BO89" s="70">
        <f t="shared" si="250"/>
        <v>82127.890000000014</v>
      </c>
      <c r="BP89" s="96">
        <f t="shared" si="250"/>
        <v>36606.58</v>
      </c>
      <c r="BQ89" s="70">
        <f t="shared" si="250"/>
        <v>3916.7</v>
      </c>
      <c r="BR89" s="70">
        <f t="shared" si="250"/>
        <v>720.13999999999942</v>
      </c>
      <c r="BS89" s="70">
        <f t="shared" si="250"/>
        <v>7466.23</v>
      </c>
      <c r="BT89" s="70">
        <f t="shared" si="250"/>
        <v>3327.8799999999997</v>
      </c>
      <c r="BU89" s="70">
        <f t="shared" si="250"/>
        <v>4098.7800000000007</v>
      </c>
      <c r="BV89" s="70">
        <f t="shared" si="250"/>
        <v>2950.97</v>
      </c>
      <c r="BW89" s="70">
        <f t="shared" si="250"/>
        <v>7005.510000000002</v>
      </c>
      <c r="BX89" s="70">
        <f t="shared" si="250"/>
        <v>965.13</v>
      </c>
      <c r="BY89" s="70">
        <f t="shared" si="250"/>
        <v>0</v>
      </c>
      <c r="BZ89" s="70">
        <f t="shared" si="250"/>
        <v>0</v>
      </c>
      <c r="CA89" s="70">
        <f t="shared" si="250"/>
        <v>97132.979999999981</v>
      </c>
      <c r="CB89" s="70">
        <f t="shared" si="250"/>
        <v>41242.82</v>
      </c>
      <c r="CC89" s="70">
        <f t="shared" si="250"/>
        <v>106863.78</v>
      </c>
      <c r="CD89" s="70">
        <f t="shared" si="250"/>
        <v>47429.259999999995</v>
      </c>
      <c r="CE89" s="70">
        <f t="shared" si="250"/>
        <v>8906</v>
      </c>
      <c r="CF89" s="70">
        <f t="shared" si="250"/>
        <v>3945</v>
      </c>
      <c r="CG89" s="70">
        <f t="shared" si="250"/>
        <v>24283.27</v>
      </c>
      <c r="CH89" s="96">
        <f t="shared" si="250"/>
        <v>10310.719999999998</v>
      </c>
      <c r="CI89" s="70">
        <f t="shared" si="250"/>
        <v>0</v>
      </c>
      <c r="CJ89" s="70">
        <f t="shared" si="250"/>
        <v>0</v>
      </c>
      <c r="CK89" s="70">
        <f t="shared" si="250"/>
        <v>25249.14</v>
      </c>
      <c r="CL89" s="70">
        <f t="shared" si="250"/>
        <v>10561.27</v>
      </c>
      <c r="CM89" s="70">
        <f t="shared" si="250"/>
        <v>50</v>
      </c>
      <c r="CN89" s="70">
        <f t="shared" si="250"/>
        <v>346.05</v>
      </c>
      <c r="CO89" s="70">
        <f t="shared" si="250"/>
        <v>113708.90999999999</v>
      </c>
      <c r="CP89" s="70">
        <f t="shared" ref="CP89:FA89" si="251">+CP88+CP87+CP86+CP85+CP82+CP79+CP75+CP71+CP68+CP65+CP62+CP59+CP56+CP52+CP49+CP45+CP44+CP43+CP39+CP36+CP33+CP29+CP26+CP16+CP13+CP10+CP7</f>
        <v>43044.45</v>
      </c>
      <c r="CQ89" s="70">
        <f t="shared" si="251"/>
        <v>100996.56</v>
      </c>
      <c r="CR89" s="70">
        <f t="shared" si="251"/>
        <v>42245.08</v>
      </c>
      <c r="CS89" s="70">
        <f t="shared" si="251"/>
        <v>99236.219999999987</v>
      </c>
      <c r="CT89" s="70">
        <f t="shared" si="251"/>
        <v>40891.449999999997</v>
      </c>
      <c r="CU89" s="70">
        <f t="shared" si="251"/>
        <v>100842.43</v>
      </c>
      <c r="CV89" s="70">
        <f t="shared" si="251"/>
        <v>41568.83</v>
      </c>
      <c r="CW89" s="70">
        <f t="shared" si="251"/>
        <v>25078.579999999998</v>
      </c>
      <c r="CX89" s="70">
        <f t="shared" si="251"/>
        <v>10083.4</v>
      </c>
      <c r="CY89" s="70">
        <f t="shared" si="251"/>
        <v>445</v>
      </c>
      <c r="CZ89" s="70">
        <f t="shared" si="251"/>
        <v>910</v>
      </c>
      <c r="DA89" s="70">
        <f t="shared" si="251"/>
        <v>59728.72</v>
      </c>
      <c r="DB89" s="70">
        <f t="shared" si="251"/>
        <v>25845.72</v>
      </c>
      <c r="DC89" s="70">
        <f t="shared" si="251"/>
        <v>56183.48</v>
      </c>
      <c r="DD89" s="70">
        <f t="shared" si="251"/>
        <v>25112.14</v>
      </c>
      <c r="DE89" s="70">
        <f t="shared" si="251"/>
        <v>3545.24</v>
      </c>
      <c r="DF89" s="70">
        <f t="shared" si="251"/>
        <v>733.58000000000015</v>
      </c>
      <c r="DG89" s="70">
        <f t="shared" si="251"/>
        <v>25020.460000000003</v>
      </c>
      <c r="DH89" s="70">
        <f t="shared" si="251"/>
        <v>10303.41</v>
      </c>
      <c r="DI89" s="70">
        <f t="shared" si="251"/>
        <v>21700.840000000004</v>
      </c>
      <c r="DJ89" s="70">
        <f>+DJ88+DJ87+DJ86+DJ85+DJ82+DJ79+DJ75+DJ71+DJ68+DJ65+DJ62+DJ59+DJ56+DJ52+DJ49+DJ45+DJ44+DJ43+DJ39+DJ36+DJ33+DJ29+DJ26+DJ16+DJ13+DJ10+DJ7</f>
        <v>9642.119999999999</v>
      </c>
      <c r="DK89" s="70">
        <f t="shared" ref="DK89:EX89" si="252">+DK88+DK87+DK86+DK85+DK82+DK79+DK75+DK71+DK68+DK65+DK62+DK59+DK56+DK52+DK49+DK45+DK44+DK43+DK39+DK36+DK33+DK29+DK26+DK16+DK13+DK10+DK7</f>
        <v>1190.4000000000001</v>
      </c>
      <c r="DL89" s="70">
        <f t="shared" si="252"/>
        <v>400</v>
      </c>
      <c r="DM89" s="70">
        <f t="shared" si="252"/>
        <v>82619.959999999992</v>
      </c>
      <c r="DN89" s="70">
        <f t="shared" si="252"/>
        <v>35887.839999999997</v>
      </c>
      <c r="DO89" s="70">
        <f t="shared" si="252"/>
        <v>81768.830000000016</v>
      </c>
      <c r="DP89" s="70">
        <f t="shared" si="252"/>
        <v>35314.71</v>
      </c>
      <c r="DQ89" s="70">
        <f t="shared" si="252"/>
        <v>851.13</v>
      </c>
      <c r="DR89" s="70">
        <f t="shared" si="252"/>
        <v>573.13</v>
      </c>
      <c r="DS89" s="70">
        <f t="shared" si="252"/>
        <v>8176.882999999998</v>
      </c>
      <c r="DT89" s="70">
        <f t="shared" si="252"/>
        <v>3531.471</v>
      </c>
      <c r="DU89" s="70">
        <f t="shared" si="252"/>
        <v>7325.7529999999988</v>
      </c>
      <c r="DV89" s="70">
        <f t="shared" si="252"/>
        <v>2958.3409999999999</v>
      </c>
      <c r="DW89" s="70">
        <f t="shared" si="252"/>
        <v>1763.78</v>
      </c>
      <c r="DX89" s="70">
        <f t="shared" si="252"/>
        <v>1329</v>
      </c>
      <c r="DY89" s="70">
        <f t="shared" si="252"/>
        <v>7685.49</v>
      </c>
      <c r="DZ89" s="70">
        <f t="shared" si="252"/>
        <v>3763.25</v>
      </c>
      <c r="EA89" s="70">
        <f t="shared" si="252"/>
        <v>603.5</v>
      </c>
      <c r="EB89" s="96">
        <f t="shared" si="252"/>
        <v>216.36</v>
      </c>
      <c r="EC89" s="70">
        <f t="shared" si="252"/>
        <v>90908.95</v>
      </c>
      <c r="ED89" s="70">
        <f t="shared" si="252"/>
        <v>39867.449999999997</v>
      </c>
      <c r="EE89" s="70">
        <f t="shared" si="252"/>
        <v>88878.760000000009</v>
      </c>
      <c r="EF89" s="70">
        <f t="shared" si="252"/>
        <v>39119.939999999995</v>
      </c>
      <c r="EG89" s="70" t="e">
        <f t="shared" si="252"/>
        <v>#DIV/0!</v>
      </c>
      <c r="EH89" s="70" t="e">
        <f t="shared" si="252"/>
        <v>#DIV/0!</v>
      </c>
      <c r="EI89" s="70">
        <f t="shared" si="252"/>
        <v>2030.19</v>
      </c>
      <c r="EJ89" s="70">
        <f t="shared" si="252"/>
        <v>747.51</v>
      </c>
      <c r="EK89" s="70">
        <f t="shared" si="252"/>
        <v>8079.88</v>
      </c>
      <c r="EL89" s="70">
        <f t="shared" si="252"/>
        <v>3556.35</v>
      </c>
      <c r="EM89" s="70">
        <f t="shared" si="252"/>
        <v>6049.6900000000005</v>
      </c>
      <c r="EN89" s="70">
        <f t="shared" si="252"/>
        <v>2808.84</v>
      </c>
      <c r="EO89" s="70">
        <f t="shared" si="252"/>
        <v>10681.029999999999</v>
      </c>
      <c r="EP89" s="70">
        <f t="shared" si="252"/>
        <v>4048.09</v>
      </c>
      <c r="EQ89" s="79">
        <f t="shared" si="252"/>
        <v>0</v>
      </c>
      <c r="ER89" s="62">
        <f t="shared" si="252"/>
        <v>0</v>
      </c>
      <c r="ES89" s="62">
        <f t="shared" si="252"/>
        <v>274</v>
      </c>
      <c r="ET89" s="62">
        <f t="shared" si="252"/>
        <v>378.6</v>
      </c>
      <c r="EU89" s="5">
        <f t="shared" si="88"/>
        <v>5321.7398500000127</v>
      </c>
      <c r="EV89" s="5">
        <f t="shared" si="88"/>
        <v>1203.9799999999996</v>
      </c>
      <c r="EW89" s="62">
        <f t="shared" si="252"/>
        <v>106911.71985000001</v>
      </c>
      <c r="EX89" s="62">
        <f t="shared" si="252"/>
        <v>45119.519999999997</v>
      </c>
      <c r="EY89" s="62">
        <f t="shared" si="251"/>
        <v>116842.48000000001</v>
      </c>
      <c r="EZ89" s="62">
        <f t="shared" si="251"/>
        <v>47156</v>
      </c>
      <c r="FA89" s="62">
        <f t="shared" si="251"/>
        <v>495.23</v>
      </c>
      <c r="FB89" s="62">
        <f t="shared" ref="FB89:FD89" si="253">+FB88+FB87+FB86+FB85+FB82+FB79+FB75+FB71+FB68+FB65+FB62+FB59+FB56+FB52+FB49+FB45+FB44+FB43+FB39+FB36+FB33+FB29+FB26+FB16+FB13+FB10+FB7</f>
        <v>495.23</v>
      </c>
      <c r="FC89" s="62">
        <f t="shared" si="253"/>
        <v>0</v>
      </c>
      <c r="FD89" s="62">
        <f t="shared" si="253"/>
        <v>0</v>
      </c>
    </row>
    <row r="90" spans="1:162" ht="18.75" x14ac:dyDescent="0.25">
      <c r="A90" s="37">
        <v>1</v>
      </c>
      <c r="B90" s="37" t="s">
        <v>240</v>
      </c>
      <c r="C90" s="80" t="s">
        <v>241</v>
      </c>
      <c r="D90" s="38" t="s">
        <v>242</v>
      </c>
      <c r="E90" s="39" t="s">
        <v>243</v>
      </c>
      <c r="F90" s="40">
        <v>1761.76</v>
      </c>
      <c r="G90" s="40">
        <v>189.32</v>
      </c>
      <c r="H90" s="40">
        <v>1761.76</v>
      </c>
      <c r="I90" s="40">
        <v>189.32</v>
      </c>
      <c r="J90" s="41">
        <v>2250</v>
      </c>
      <c r="K90" s="41">
        <v>0</v>
      </c>
      <c r="L90" s="41">
        <v>0</v>
      </c>
      <c r="M90" s="71">
        <f t="shared" si="246"/>
        <v>2250</v>
      </c>
      <c r="N90" s="41">
        <v>0</v>
      </c>
      <c r="O90" s="41">
        <v>0</v>
      </c>
      <c r="P90" s="41">
        <v>0</v>
      </c>
      <c r="Q90" s="71">
        <f t="shared" si="247"/>
        <v>0</v>
      </c>
      <c r="R90" s="71">
        <f>+Q90+M90</f>
        <v>2250</v>
      </c>
      <c r="S90" s="41">
        <v>250</v>
      </c>
      <c r="T90" s="92"/>
      <c r="U90" s="92"/>
      <c r="V90" s="40">
        <f t="shared" ref="V90:V92" si="254">ROUND(H90*1.0583,2)</f>
        <v>1864.47</v>
      </c>
      <c r="W90" s="40">
        <f t="shared" ref="W90:W92" si="255">ROUND(I90*1.0327,2)</f>
        <v>195.51</v>
      </c>
      <c r="X90" s="40">
        <f t="shared" si="170"/>
        <v>385.53</v>
      </c>
      <c r="Y90" s="40">
        <f t="shared" si="170"/>
        <v>54.490000000000009</v>
      </c>
      <c r="Z90" s="40">
        <v>1864.47</v>
      </c>
      <c r="AA90" s="40"/>
      <c r="AB90" s="40">
        <f t="shared" si="182"/>
        <v>1864.47</v>
      </c>
      <c r="AC90" s="43">
        <f t="shared" si="183"/>
        <v>0</v>
      </c>
      <c r="AD90" s="70">
        <f t="shared" ref="AD90:AE92" si="256">IF(X90&gt;0,V90,R90)</f>
        <v>1864.47</v>
      </c>
      <c r="AE90" s="70">
        <f t="shared" si="256"/>
        <v>195.51</v>
      </c>
      <c r="AF90" s="70">
        <f t="shared" si="184"/>
        <v>225.55</v>
      </c>
      <c r="AG90" s="43">
        <f t="shared" si="171"/>
        <v>466</v>
      </c>
      <c r="AH90" s="43">
        <f t="shared" si="171"/>
        <v>49</v>
      </c>
      <c r="AI90" s="93">
        <f t="shared" si="172"/>
        <v>155</v>
      </c>
      <c r="AJ90" s="43">
        <f t="shared" si="172"/>
        <v>16</v>
      </c>
      <c r="AK90" s="43"/>
      <c r="AL90" s="43"/>
      <c r="AM90" s="43">
        <f t="shared" si="185"/>
        <v>466.12</v>
      </c>
      <c r="AN90" s="43">
        <f t="shared" si="186"/>
        <v>47.61</v>
      </c>
      <c r="AO90" s="43"/>
      <c r="AP90" s="43"/>
      <c r="AQ90" s="43">
        <f t="shared" si="173"/>
        <v>932.12</v>
      </c>
      <c r="AR90" s="43">
        <f t="shared" si="173"/>
        <v>96.61</v>
      </c>
      <c r="AS90" s="43"/>
      <c r="AT90" s="43"/>
      <c r="AU90" s="43">
        <f>ROUND(AD90*25%,2)</f>
        <v>466.12</v>
      </c>
      <c r="AV90" s="43">
        <f t="shared" ref="AV90:AV112" si="257">ROUND(AE90*25%,2)</f>
        <v>48.88</v>
      </c>
      <c r="AW90" s="43"/>
      <c r="AX90" s="43"/>
      <c r="AY90" s="43">
        <f t="shared" si="166"/>
        <v>1553.24</v>
      </c>
      <c r="AZ90" s="43">
        <f t="shared" si="166"/>
        <v>161.49</v>
      </c>
      <c r="BA90" s="43">
        <f t="shared" si="167"/>
        <v>1714.73</v>
      </c>
      <c r="BB90" s="60">
        <v>1520.11</v>
      </c>
      <c r="BC90" s="60">
        <v>85.83</v>
      </c>
      <c r="BD90" s="60">
        <f t="shared" si="168"/>
        <v>33.130000000000109</v>
      </c>
      <c r="BE90" s="60">
        <f t="shared" si="168"/>
        <v>75.660000000000011</v>
      </c>
      <c r="BF90" s="60">
        <f t="shared" si="169"/>
        <v>304.02</v>
      </c>
      <c r="BG90" s="60">
        <f t="shared" si="169"/>
        <v>17.170000000000002</v>
      </c>
      <c r="BH90" s="43">
        <v>135.44999999999999</v>
      </c>
      <c r="BI90" s="43">
        <v>0</v>
      </c>
      <c r="BJ90" s="43"/>
      <c r="BK90" s="43"/>
      <c r="BL90" s="43">
        <f t="shared" si="180"/>
        <v>1688.69</v>
      </c>
      <c r="BM90" s="43">
        <f t="shared" si="180"/>
        <v>161.49</v>
      </c>
      <c r="BN90" s="43">
        <f t="shared" si="187"/>
        <v>1850.18</v>
      </c>
      <c r="BO90" s="43">
        <v>1672.86</v>
      </c>
      <c r="BP90" s="93">
        <v>86.96</v>
      </c>
      <c r="BQ90" s="43">
        <f t="shared" si="188"/>
        <v>15.830000000000155</v>
      </c>
      <c r="BR90" s="43">
        <f t="shared" si="188"/>
        <v>74.530000000000015</v>
      </c>
      <c r="BS90" s="43">
        <f t="shared" si="189"/>
        <v>152.08000000000001</v>
      </c>
      <c r="BT90" s="43">
        <f t="shared" si="189"/>
        <v>7.91</v>
      </c>
      <c r="BU90" s="43">
        <f t="shared" si="212"/>
        <v>136.24999999999986</v>
      </c>
      <c r="BV90" s="43">
        <v>0</v>
      </c>
      <c r="BW90" s="43"/>
      <c r="BX90" s="43"/>
      <c r="BY90" s="43"/>
      <c r="BZ90" s="43"/>
      <c r="CA90" s="43">
        <v>1824.9399999999998</v>
      </c>
      <c r="CB90" s="43">
        <v>161.49</v>
      </c>
      <c r="CC90" s="92">
        <v>2007.43</v>
      </c>
      <c r="CD90" s="92">
        <v>185.71</v>
      </c>
      <c r="CE90" s="92">
        <v>167</v>
      </c>
      <c r="CF90" s="92">
        <v>15</v>
      </c>
      <c r="CG90" s="92">
        <f t="shared" si="190"/>
        <v>456.24</v>
      </c>
      <c r="CH90" s="92">
        <f t="shared" si="190"/>
        <v>40.369999999999997</v>
      </c>
      <c r="CI90" s="43"/>
      <c r="CJ90" s="43"/>
      <c r="CK90" s="72">
        <f>510-10</f>
        <v>500</v>
      </c>
      <c r="CL90" s="72">
        <f>50-10</f>
        <v>40</v>
      </c>
      <c r="CM90" s="72"/>
      <c r="CN90" s="72"/>
      <c r="CO90" s="43">
        <v>2030</v>
      </c>
      <c r="CP90" s="43">
        <v>212</v>
      </c>
      <c r="CQ90" s="43">
        <f t="shared" si="191"/>
        <v>2000</v>
      </c>
      <c r="CR90" s="43">
        <f t="shared" si="191"/>
        <v>160</v>
      </c>
      <c r="CS90" s="43">
        <f t="shared" si="192"/>
        <v>2000</v>
      </c>
      <c r="CT90" s="43">
        <f t="shared" si="192"/>
        <v>160</v>
      </c>
      <c r="CU90" s="43">
        <v>2200</v>
      </c>
      <c r="CV90" s="43">
        <v>250</v>
      </c>
      <c r="CW90" s="43">
        <f t="shared" si="193"/>
        <v>550</v>
      </c>
      <c r="CX90" s="43">
        <f t="shared" si="193"/>
        <v>62.5</v>
      </c>
      <c r="CY90" s="43"/>
      <c r="CZ90" s="43"/>
      <c r="DA90" s="43">
        <f t="shared" si="194"/>
        <v>1217</v>
      </c>
      <c r="DB90" s="43">
        <f t="shared" si="194"/>
        <v>117.5</v>
      </c>
      <c r="DC90" s="43">
        <v>1099.1600000000001</v>
      </c>
      <c r="DD90" s="43">
        <v>116.64</v>
      </c>
      <c r="DE90" s="43">
        <f t="shared" si="195"/>
        <v>117.83999999999992</v>
      </c>
      <c r="DF90" s="43">
        <f t="shared" si="195"/>
        <v>0.85999999999999943</v>
      </c>
      <c r="DG90" s="43">
        <f t="shared" ref="DG90:DH92" si="258">ROUND(0.25*(MIN(CU90,EW90)),2)</f>
        <v>550</v>
      </c>
      <c r="DH90" s="43">
        <f t="shared" si="258"/>
        <v>62.5</v>
      </c>
      <c r="DI90" s="43">
        <f t="shared" si="196"/>
        <v>432.16000000000008</v>
      </c>
      <c r="DJ90" s="43">
        <f>+DH90-DF90</f>
        <v>61.64</v>
      </c>
      <c r="DK90" s="43"/>
      <c r="DL90" s="43"/>
      <c r="DM90" s="43">
        <f t="shared" si="197"/>
        <v>1649.16</v>
      </c>
      <c r="DN90" s="43">
        <f t="shared" si="197"/>
        <v>179.14</v>
      </c>
      <c r="DO90" s="94">
        <v>1572.08</v>
      </c>
      <c r="DP90" s="95">
        <v>176.11</v>
      </c>
      <c r="DQ90" s="60">
        <f t="shared" si="198"/>
        <v>77.08</v>
      </c>
      <c r="DR90" s="60">
        <f t="shared" si="198"/>
        <v>3.03</v>
      </c>
      <c r="DS90" s="60">
        <f t="shared" si="199"/>
        <v>157.208</v>
      </c>
      <c r="DT90" s="60">
        <f t="shared" si="199"/>
        <v>17.611000000000001</v>
      </c>
      <c r="DU90" s="60">
        <f t="shared" si="200"/>
        <v>80.128</v>
      </c>
      <c r="DV90" s="60">
        <f t="shared" si="200"/>
        <v>14.581000000000001</v>
      </c>
      <c r="DW90" s="60"/>
      <c r="DX90" s="60"/>
      <c r="DY90" s="60">
        <f t="shared" si="214"/>
        <v>80.13</v>
      </c>
      <c r="DZ90" s="60">
        <f t="shared" si="181"/>
        <v>14.58</v>
      </c>
      <c r="EA90" s="60"/>
      <c r="EB90" s="60"/>
      <c r="EC90" s="43">
        <f t="shared" si="201"/>
        <v>1729.29</v>
      </c>
      <c r="ED90" s="43">
        <f t="shared" si="201"/>
        <v>193.72</v>
      </c>
      <c r="EE90" s="43">
        <v>1715.43</v>
      </c>
      <c r="EF90" s="43">
        <v>180.19</v>
      </c>
      <c r="EG90" s="43">
        <f t="shared" si="245"/>
        <v>99.2</v>
      </c>
      <c r="EH90" s="43">
        <f t="shared" si="245"/>
        <v>93.02</v>
      </c>
      <c r="EI90" s="43">
        <f t="shared" si="202"/>
        <v>13.86</v>
      </c>
      <c r="EJ90" s="43">
        <f t="shared" si="202"/>
        <v>13.53</v>
      </c>
      <c r="EK90" s="43">
        <f t="shared" si="203"/>
        <v>155.94999999999999</v>
      </c>
      <c r="EL90" s="43">
        <f t="shared" si="203"/>
        <v>16.38</v>
      </c>
      <c r="EM90" s="43">
        <f t="shared" si="204"/>
        <v>142.08999999999997</v>
      </c>
      <c r="EN90" s="43">
        <f t="shared" si="204"/>
        <v>2.8499999999999996</v>
      </c>
      <c r="EO90" s="43">
        <v>170</v>
      </c>
      <c r="EP90" s="43">
        <v>36.28</v>
      </c>
      <c r="EQ90" s="5"/>
      <c r="ER90" s="5"/>
      <c r="ES90" s="5"/>
      <c r="ET90" s="5"/>
      <c r="EU90" s="5">
        <f t="shared" si="88"/>
        <v>300.71000000000004</v>
      </c>
      <c r="EV90" s="5">
        <f t="shared" si="88"/>
        <v>20</v>
      </c>
      <c r="EW90" s="5">
        <v>2200</v>
      </c>
      <c r="EX90" s="5">
        <v>250</v>
      </c>
      <c r="EY90" s="5">
        <v>2500</v>
      </c>
      <c r="EZ90" s="5">
        <v>350</v>
      </c>
    </row>
    <row r="91" spans="1:162" ht="18.75" x14ac:dyDescent="0.25">
      <c r="A91" s="37">
        <v>2</v>
      </c>
      <c r="B91" s="37"/>
      <c r="C91" s="91" t="s">
        <v>183</v>
      </c>
      <c r="D91" s="38" t="s">
        <v>244</v>
      </c>
      <c r="E91" s="39"/>
      <c r="F91" s="40">
        <v>1508.2699999999998</v>
      </c>
      <c r="G91" s="40">
        <v>151.47</v>
      </c>
      <c r="H91" s="40">
        <v>1508.2699999999998</v>
      </c>
      <c r="I91" s="40">
        <v>200</v>
      </c>
      <c r="J91" s="41">
        <v>1350</v>
      </c>
      <c r="K91" s="41">
        <v>300</v>
      </c>
      <c r="L91" s="41">
        <v>0</v>
      </c>
      <c r="M91" s="41">
        <f t="shared" si="246"/>
        <v>1650</v>
      </c>
      <c r="N91" s="41">
        <v>0</v>
      </c>
      <c r="O91" s="41">
        <v>0</v>
      </c>
      <c r="P91" s="41">
        <v>0</v>
      </c>
      <c r="Q91" s="41">
        <f t="shared" si="247"/>
        <v>0</v>
      </c>
      <c r="R91" s="41">
        <f t="shared" ref="R91" si="259">Q91+M91</f>
        <v>1650</v>
      </c>
      <c r="S91" s="41">
        <v>100</v>
      </c>
      <c r="T91" s="92"/>
      <c r="U91" s="92"/>
      <c r="V91" s="40">
        <f t="shared" si="254"/>
        <v>1596.2</v>
      </c>
      <c r="W91" s="40">
        <f t="shared" si="255"/>
        <v>206.54</v>
      </c>
      <c r="X91" s="43">
        <f t="shared" si="170"/>
        <v>53.799999999999955</v>
      </c>
      <c r="Y91" s="43">
        <f t="shared" si="170"/>
        <v>-106.53999999999999</v>
      </c>
      <c r="Z91" s="43">
        <v>1596.2</v>
      </c>
      <c r="AA91" s="43"/>
      <c r="AB91" s="43">
        <f t="shared" si="182"/>
        <v>1596.2</v>
      </c>
      <c r="AC91" s="43">
        <f t="shared" si="183"/>
        <v>0</v>
      </c>
      <c r="AD91" s="43">
        <f t="shared" si="256"/>
        <v>1596.2</v>
      </c>
      <c r="AE91" s="43">
        <f t="shared" si="256"/>
        <v>100</v>
      </c>
      <c r="AF91" s="43">
        <f t="shared" si="184"/>
        <v>90.22</v>
      </c>
      <c r="AG91" s="43">
        <f t="shared" si="171"/>
        <v>399</v>
      </c>
      <c r="AH91" s="43">
        <f t="shared" si="171"/>
        <v>25</v>
      </c>
      <c r="AI91" s="93">
        <f t="shared" si="172"/>
        <v>133</v>
      </c>
      <c r="AJ91" s="43">
        <f t="shared" si="172"/>
        <v>8</v>
      </c>
      <c r="AK91" s="43"/>
      <c r="AL91" s="43"/>
      <c r="AM91" s="43">
        <f t="shared" si="185"/>
        <v>399.05</v>
      </c>
      <c r="AN91" s="43">
        <f t="shared" si="186"/>
        <v>24.35</v>
      </c>
      <c r="AO91" s="43"/>
      <c r="AP91" s="43"/>
      <c r="AQ91" s="43">
        <f t="shared" si="173"/>
        <v>798.05</v>
      </c>
      <c r="AR91" s="43">
        <f t="shared" si="173"/>
        <v>49.35</v>
      </c>
      <c r="AS91" s="43"/>
      <c r="AT91" s="43"/>
      <c r="AU91" s="43">
        <f t="shared" ref="AU91:AV154" si="260">ROUND(AD91*25%,2)</f>
        <v>399.05</v>
      </c>
      <c r="AV91" s="43">
        <f t="shared" si="257"/>
        <v>25</v>
      </c>
      <c r="AW91" s="43"/>
      <c r="AX91" s="43"/>
      <c r="AY91" s="43">
        <f t="shared" si="166"/>
        <v>1330.1</v>
      </c>
      <c r="AZ91" s="43">
        <f t="shared" si="166"/>
        <v>82.35</v>
      </c>
      <c r="BA91" s="43">
        <f t="shared" si="167"/>
        <v>1412.4499999999998</v>
      </c>
      <c r="BB91" s="60">
        <v>1216.96</v>
      </c>
      <c r="BC91" s="60">
        <v>79.38</v>
      </c>
      <c r="BD91" s="60">
        <f t="shared" si="168"/>
        <v>113.13999999999987</v>
      </c>
      <c r="BE91" s="60">
        <f t="shared" si="168"/>
        <v>2.9699999999999989</v>
      </c>
      <c r="BF91" s="60">
        <f t="shared" si="169"/>
        <v>243.39</v>
      </c>
      <c r="BG91" s="60">
        <f t="shared" si="169"/>
        <v>15.88</v>
      </c>
      <c r="BH91" s="43">
        <v>65.13</v>
      </c>
      <c r="BI91" s="43">
        <v>6.46</v>
      </c>
      <c r="BJ91" s="43"/>
      <c r="BK91" s="43"/>
      <c r="BL91" s="43">
        <f t="shared" si="180"/>
        <v>1395.23</v>
      </c>
      <c r="BM91" s="43">
        <f t="shared" si="180"/>
        <v>88.809999999999988</v>
      </c>
      <c r="BN91" s="43">
        <f t="shared" si="187"/>
        <v>1484.04</v>
      </c>
      <c r="BO91" s="43">
        <v>1335.41</v>
      </c>
      <c r="BP91" s="93">
        <v>79.569999999999993</v>
      </c>
      <c r="BQ91" s="43">
        <f t="shared" si="188"/>
        <v>59.819999999999936</v>
      </c>
      <c r="BR91" s="43">
        <f t="shared" si="188"/>
        <v>9.2399999999999949</v>
      </c>
      <c r="BS91" s="43">
        <f t="shared" si="189"/>
        <v>121.4</v>
      </c>
      <c r="BT91" s="43">
        <f t="shared" si="189"/>
        <v>7.23</v>
      </c>
      <c r="BU91" s="43">
        <v>61.58</v>
      </c>
      <c r="BV91" s="43">
        <v>0</v>
      </c>
      <c r="BW91" s="43">
        <v>30</v>
      </c>
      <c r="BX91" s="43">
        <v>50</v>
      </c>
      <c r="BY91" s="43"/>
      <c r="BZ91" s="43"/>
      <c r="CA91" s="43">
        <v>1486.81</v>
      </c>
      <c r="CB91" s="43">
        <v>138.81</v>
      </c>
      <c r="CC91" s="92">
        <v>1635.49</v>
      </c>
      <c r="CD91" s="92">
        <v>159.63</v>
      </c>
      <c r="CE91" s="92">
        <v>136</v>
      </c>
      <c r="CF91" s="92">
        <v>13</v>
      </c>
      <c r="CG91" s="92">
        <f t="shared" si="190"/>
        <v>371.7</v>
      </c>
      <c r="CH91" s="92">
        <f t="shared" si="190"/>
        <v>34.700000000000003</v>
      </c>
      <c r="CI91" s="43"/>
      <c r="CJ91" s="43"/>
      <c r="CK91" s="43">
        <v>400</v>
      </c>
      <c r="CL91" s="43">
        <v>35</v>
      </c>
      <c r="CM91" s="43"/>
      <c r="CN91" s="43">
        <v>100</v>
      </c>
      <c r="CO91" s="43">
        <v>1750</v>
      </c>
      <c r="CP91" s="43">
        <v>386</v>
      </c>
      <c r="CQ91" s="43">
        <f t="shared" si="191"/>
        <v>1600</v>
      </c>
      <c r="CR91" s="43">
        <f>ROUND(CL91/3*12,2)+246</f>
        <v>386</v>
      </c>
      <c r="CS91" s="43">
        <f t="shared" si="192"/>
        <v>1600</v>
      </c>
      <c r="CT91" s="43">
        <f t="shared" si="192"/>
        <v>386</v>
      </c>
      <c r="CU91" s="43">
        <v>1600</v>
      </c>
      <c r="CV91" s="43">
        <v>386</v>
      </c>
      <c r="CW91" s="43">
        <f t="shared" si="193"/>
        <v>400</v>
      </c>
      <c r="CX91" s="43">
        <f>ROUND(CV91*25%,2)-50</f>
        <v>46.5</v>
      </c>
      <c r="CY91" s="43"/>
      <c r="CZ91" s="43"/>
      <c r="DA91" s="43">
        <f t="shared" si="194"/>
        <v>936</v>
      </c>
      <c r="DB91" s="43">
        <f t="shared" si="194"/>
        <v>194.5</v>
      </c>
      <c r="DC91" s="43">
        <v>904.81</v>
      </c>
      <c r="DD91" s="43">
        <v>180.28</v>
      </c>
      <c r="DE91" s="43">
        <f t="shared" si="195"/>
        <v>31.190000000000055</v>
      </c>
      <c r="DF91" s="43">
        <f t="shared" si="195"/>
        <v>14.219999999999999</v>
      </c>
      <c r="DG91" s="43">
        <f t="shared" si="258"/>
        <v>400</v>
      </c>
      <c r="DH91" s="43">
        <f t="shared" si="258"/>
        <v>96.5</v>
      </c>
      <c r="DI91" s="43">
        <f t="shared" si="196"/>
        <v>368.80999999999995</v>
      </c>
      <c r="DJ91" s="43">
        <f>+DH91-DF91</f>
        <v>82.28</v>
      </c>
      <c r="DK91" s="43"/>
      <c r="DL91" s="43"/>
      <c r="DM91" s="43">
        <f t="shared" si="197"/>
        <v>1304.81</v>
      </c>
      <c r="DN91" s="43">
        <f t="shared" si="197"/>
        <v>276.77999999999997</v>
      </c>
      <c r="DO91" s="94">
        <v>1286.3</v>
      </c>
      <c r="DP91" s="103">
        <v>213.03</v>
      </c>
      <c r="DQ91" s="60">
        <f t="shared" si="198"/>
        <v>18.510000000000002</v>
      </c>
      <c r="DR91" s="60">
        <f t="shared" si="198"/>
        <v>63.75</v>
      </c>
      <c r="DS91" s="60">
        <f t="shared" si="199"/>
        <v>128.63</v>
      </c>
      <c r="DT91" s="60">
        <f t="shared" si="199"/>
        <v>21.303000000000001</v>
      </c>
      <c r="DU91" s="60">
        <f t="shared" si="200"/>
        <v>110.11999999999999</v>
      </c>
      <c r="DV91" s="60">
        <f t="shared" si="200"/>
        <v>-42.447000000000003</v>
      </c>
      <c r="DW91" s="60"/>
      <c r="DX91" s="60"/>
      <c r="DY91" s="60">
        <f t="shared" si="214"/>
        <v>110.12</v>
      </c>
      <c r="DZ91" s="60">
        <v>0</v>
      </c>
      <c r="EA91" s="60"/>
      <c r="EB91" s="60"/>
      <c r="EC91" s="43">
        <f t="shared" si="201"/>
        <v>1414.9299999999998</v>
      </c>
      <c r="ED91" s="43">
        <f t="shared" si="201"/>
        <v>276.77999999999997</v>
      </c>
      <c r="EE91" s="43">
        <v>1409.82</v>
      </c>
      <c r="EF91" s="43">
        <v>215.92</v>
      </c>
      <c r="EG91" s="43">
        <f t="shared" si="245"/>
        <v>99.64</v>
      </c>
      <c r="EH91" s="72">
        <f t="shared" si="245"/>
        <v>78.010000000000005</v>
      </c>
      <c r="EI91" s="43">
        <f t="shared" si="202"/>
        <v>5.1100000000000003</v>
      </c>
      <c r="EJ91" s="43">
        <f t="shared" si="202"/>
        <v>60.86</v>
      </c>
      <c r="EK91" s="43">
        <f t="shared" si="203"/>
        <v>128.16999999999999</v>
      </c>
      <c r="EL91" s="43">
        <f t="shared" si="203"/>
        <v>19.63</v>
      </c>
      <c r="EM91" s="43">
        <f t="shared" si="204"/>
        <v>123.05999999999999</v>
      </c>
      <c r="EN91" s="43">
        <f t="shared" si="204"/>
        <v>-41.230000000000004</v>
      </c>
      <c r="EO91" s="43">
        <v>170</v>
      </c>
      <c r="EP91" s="43">
        <v>25</v>
      </c>
      <c r="EQ91" s="5"/>
      <c r="ER91" s="5"/>
      <c r="ES91" s="5"/>
      <c r="ET91" s="5"/>
      <c r="EU91" s="5">
        <f t="shared" si="88"/>
        <v>15.070000000000164</v>
      </c>
      <c r="EV91" s="5">
        <f t="shared" si="88"/>
        <v>84.220000000000027</v>
      </c>
      <c r="EW91" s="5">
        <v>1600</v>
      </c>
      <c r="EX91" s="5">
        <v>386</v>
      </c>
      <c r="EY91" s="5">
        <v>1700</v>
      </c>
      <c r="EZ91" s="5">
        <v>150</v>
      </c>
    </row>
    <row r="92" spans="1:162" ht="18.75" x14ac:dyDescent="0.25">
      <c r="A92" s="37">
        <v>3</v>
      </c>
      <c r="B92" s="37"/>
      <c r="C92" s="91" t="s">
        <v>183</v>
      </c>
      <c r="D92" s="38" t="s">
        <v>245</v>
      </c>
      <c r="E92" s="39"/>
      <c r="F92" s="40">
        <v>628.55000000000018</v>
      </c>
      <c r="G92" s="40">
        <v>0</v>
      </c>
      <c r="H92" s="40">
        <v>688.72000000000014</v>
      </c>
      <c r="I92" s="40">
        <v>0</v>
      </c>
      <c r="J92" s="41">
        <v>750</v>
      </c>
      <c r="K92" s="41">
        <v>0</v>
      </c>
      <c r="L92" s="41">
        <v>0</v>
      </c>
      <c r="M92" s="41">
        <f t="shared" si="246"/>
        <v>750</v>
      </c>
      <c r="N92" s="41">
        <v>0</v>
      </c>
      <c r="O92" s="41">
        <v>0</v>
      </c>
      <c r="P92" s="41">
        <v>0</v>
      </c>
      <c r="Q92" s="41">
        <f t="shared" si="247"/>
        <v>0</v>
      </c>
      <c r="R92" s="41">
        <v>0</v>
      </c>
      <c r="S92" s="41">
        <v>0</v>
      </c>
      <c r="T92" s="92"/>
      <c r="U92" s="92"/>
      <c r="V92" s="40">
        <f t="shared" si="254"/>
        <v>728.87</v>
      </c>
      <c r="W92" s="40">
        <f t="shared" si="255"/>
        <v>0</v>
      </c>
      <c r="X92" s="43">
        <f t="shared" si="170"/>
        <v>-728.87</v>
      </c>
      <c r="Y92" s="43">
        <f t="shared" si="170"/>
        <v>0</v>
      </c>
      <c r="Z92" s="43">
        <v>800</v>
      </c>
      <c r="AA92" s="43"/>
      <c r="AB92" s="43">
        <f t="shared" si="182"/>
        <v>800</v>
      </c>
      <c r="AC92" s="43">
        <f t="shared" si="183"/>
        <v>0</v>
      </c>
      <c r="AD92" s="43">
        <f>IF(X92&gt;0,V92,R92)+800</f>
        <v>800</v>
      </c>
      <c r="AE92" s="43">
        <f t="shared" si="256"/>
        <v>0</v>
      </c>
      <c r="AF92" s="43">
        <f t="shared" si="184"/>
        <v>0</v>
      </c>
      <c r="AG92" s="43">
        <f>ROUND(AD92/4,0)-200</f>
        <v>0</v>
      </c>
      <c r="AH92" s="43">
        <f t="shared" si="171"/>
        <v>0</v>
      </c>
      <c r="AI92" s="93">
        <f>ROUND(AD92/12,0)-67</f>
        <v>0</v>
      </c>
      <c r="AJ92" s="43">
        <f t="shared" si="172"/>
        <v>0</v>
      </c>
      <c r="AK92" s="43">
        <v>200</v>
      </c>
      <c r="AL92" s="43"/>
      <c r="AM92" s="43">
        <f t="shared" si="185"/>
        <v>200</v>
      </c>
      <c r="AN92" s="43">
        <f t="shared" si="186"/>
        <v>0</v>
      </c>
      <c r="AO92" s="43"/>
      <c r="AP92" s="43"/>
      <c r="AQ92" s="43">
        <f t="shared" si="173"/>
        <v>400</v>
      </c>
      <c r="AR92" s="43">
        <f t="shared" si="173"/>
        <v>0</v>
      </c>
      <c r="AS92" s="43"/>
      <c r="AT92" s="43"/>
      <c r="AU92" s="43">
        <f t="shared" si="260"/>
        <v>200</v>
      </c>
      <c r="AV92" s="43">
        <f t="shared" si="257"/>
        <v>0</v>
      </c>
      <c r="AW92" s="43"/>
      <c r="AX92" s="43"/>
      <c r="AY92" s="43">
        <f t="shared" si="166"/>
        <v>600</v>
      </c>
      <c r="AZ92" s="43">
        <f t="shared" si="166"/>
        <v>0</v>
      </c>
      <c r="BA92" s="43">
        <f t="shared" si="167"/>
        <v>600</v>
      </c>
      <c r="BB92" s="60">
        <v>600</v>
      </c>
      <c r="BC92" s="60"/>
      <c r="BD92" s="60">
        <f t="shared" si="168"/>
        <v>0</v>
      </c>
      <c r="BE92" s="60">
        <f t="shared" si="168"/>
        <v>0</v>
      </c>
      <c r="BF92" s="60">
        <f t="shared" si="169"/>
        <v>120</v>
      </c>
      <c r="BG92" s="60">
        <f t="shared" si="169"/>
        <v>0</v>
      </c>
      <c r="BH92" s="43">
        <v>50</v>
      </c>
      <c r="BI92" s="43">
        <v>0</v>
      </c>
      <c r="BJ92" s="43"/>
      <c r="BK92" s="43"/>
      <c r="BL92" s="43">
        <f t="shared" si="180"/>
        <v>650</v>
      </c>
      <c r="BM92" s="43">
        <f t="shared" si="180"/>
        <v>0</v>
      </c>
      <c r="BN92" s="43">
        <f t="shared" si="187"/>
        <v>650</v>
      </c>
      <c r="BO92" s="43">
        <v>600</v>
      </c>
      <c r="BP92" s="93"/>
      <c r="BQ92" s="43">
        <f t="shared" si="188"/>
        <v>50</v>
      </c>
      <c r="BR92" s="43">
        <f t="shared" si="188"/>
        <v>0</v>
      </c>
      <c r="BS92" s="43">
        <f t="shared" si="189"/>
        <v>54.55</v>
      </c>
      <c r="BT92" s="43">
        <f t="shared" si="189"/>
        <v>0</v>
      </c>
      <c r="BU92" s="43">
        <f t="shared" si="212"/>
        <v>4.5499999999999972</v>
      </c>
      <c r="BV92" s="43">
        <f>ROUND(BT92-BR92,2)</f>
        <v>0</v>
      </c>
      <c r="BW92" s="43"/>
      <c r="BX92" s="43"/>
      <c r="BY92" s="43"/>
      <c r="BZ92" s="43"/>
      <c r="CA92" s="43">
        <v>654.54999999999995</v>
      </c>
      <c r="CB92" s="43">
        <v>0</v>
      </c>
      <c r="CC92" s="92">
        <v>720.01</v>
      </c>
      <c r="CD92" s="92">
        <v>0</v>
      </c>
      <c r="CE92" s="92">
        <v>60</v>
      </c>
      <c r="CF92" s="92">
        <v>0</v>
      </c>
      <c r="CG92" s="92">
        <f t="shared" si="190"/>
        <v>163.63999999999999</v>
      </c>
      <c r="CH92" s="92">
        <f t="shared" si="190"/>
        <v>0</v>
      </c>
      <c r="CI92" s="43"/>
      <c r="CJ92" s="43"/>
      <c r="CK92" s="43">
        <v>165</v>
      </c>
      <c r="CL92" s="43"/>
      <c r="CM92" s="43"/>
      <c r="CN92" s="43"/>
      <c r="CO92" s="43">
        <v>805</v>
      </c>
      <c r="CP92" s="43"/>
      <c r="CQ92" s="43">
        <f t="shared" si="191"/>
        <v>660</v>
      </c>
      <c r="CR92" s="43">
        <f t="shared" si="191"/>
        <v>0</v>
      </c>
      <c r="CS92" s="43">
        <f t="shared" si="192"/>
        <v>660</v>
      </c>
      <c r="CT92" s="43">
        <f t="shared" si="192"/>
        <v>0</v>
      </c>
      <c r="CU92" s="43">
        <v>660</v>
      </c>
      <c r="CV92" s="43">
        <v>0</v>
      </c>
      <c r="CW92" s="43">
        <f t="shared" si="193"/>
        <v>165</v>
      </c>
      <c r="CX92" s="43">
        <f t="shared" si="193"/>
        <v>0</v>
      </c>
      <c r="CY92" s="43"/>
      <c r="CZ92" s="43"/>
      <c r="DA92" s="43">
        <f t="shared" si="194"/>
        <v>390</v>
      </c>
      <c r="DB92" s="43">
        <f t="shared" si="194"/>
        <v>0</v>
      </c>
      <c r="DC92" s="43">
        <v>355</v>
      </c>
      <c r="DD92" s="43">
        <v>0</v>
      </c>
      <c r="DE92" s="43">
        <f t="shared" si="195"/>
        <v>35</v>
      </c>
      <c r="DF92" s="43">
        <f t="shared" si="195"/>
        <v>0</v>
      </c>
      <c r="DG92" s="43">
        <f t="shared" si="258"/>
        <v>103.75</v>
      </c>
      <c r="DH92" s="43">
        <f t="shared" si="258"/>
        <v>0</v>
      </c>
      <c r="DI92" s="43">
        <f t="shared" si="196"/>
        <v>68.75</v>
      </c>
      <c r="DJ92" s="43">
        <f>+DH92-DF92</f>
        <v>0</v>
      </c>
      <c r="DK92" s="43"/>
      <c r="DL92" s="43"/>
      <c r="DM92" s="43">
        <f t="shared" si="197"/>
        <v>458.75</v>
      </c>
      <c r="DN92" s="43">
        <f t="shared" si="197"/>
        <v>0</v>
      </c>
      <c r="DO92" s="94">
        <v>458</v>
      </c>
      <c r="DP92" s="95">
        <v>0</v>
      </c>
      <c r="DQ92" s="60">
        <f t="shared" si="198"/>
        <v>0.75</v>
      </c>
      <c r="DR92" s="60">
        <f t="shared" si="198"/>
        <v>0</v>
      </c>
      <c r="DS92" s="60">
        <f t="shared" si="199"/>
        <v>45.8</v>
      </c>
      <c r="DT92" s="60">
        <f t="shared" si="199"/>
        <v>0</v>
      </c>
      <c r="DU92" s="60">
        <f t="shared" si="200"/>
        <v>45.05</v>
      </c>
      <c r="DV92" s="60">
        <f t="shared" si="200"/>
        <v>0</v>
      </c>
      <c r="DW92" s="60"/>
      <c r="DX92" s="60"/>
      <c r="DY92" s="60">
        <f>ROUND(DU92+DW92,2)-45.05</f>
        <v>0</v>
      </c>
      <c r="DZ92" s="60">
        <f t="shared" si="181"/>
        <v>0</v>
      </c>
      <c r="EA92" s="60"/>
      <c r="EB92" s="60"/>
      <c r="EC92" s="43">
        <f t="shared" si="201"/>
        <v>458.75</v>
      </c>
      <c r="ED92" s="43">
        <f t="shared" si="201"/>
        <v>0</v>
      </c>
      <c r="EE92" s="43">
        <v>458</v>
      </c>
      <c r="EF92" s="43">
        <v>0</v>
      </c>
      <c r="EG92" s="43">
        <f t="shared" si="245"/>
        <v>99.84</v>
      </c>
      <c r="EH92" s="43" t="e">
        <f t="shared" si="245"/>
        <v>#DIV/0!</v>
      </c>
      <c r="EI92" s="43">
        <f t="shared" si="202"/>
        <v>0.75</v>
      </c>
      <c r="EJ92" s="43">
        <f t="shared" si="202"/>
        <v>0</v>
      </c>
      <c r="EK92" s="43">
        <f t="shared" si="203"/>
        <v>41.64</v>
      </c>
      <c r="EL92" s="43">
        <f t="shared" si="203"/>
        <v>0</v>
      </c>
      <c r="EM92" s="43">
        <f t="shared" si="204"/>
        <v>40.89</v>
      </c>
      <c r="EN92" s="43">
        <f t="shared" si="204"/>
        <v>0</v>
      </c>
      <c r="EO92" s="43">
        <v>0</v>
      </c>
      <c r="EP92" s="43">
        <v>0</v>
      </c>
      <c r="EQ92" s="5"/>
      <c r="ER92" s="5"/>
      <c r="ES92" s="5"/>
      <c r="ET92" s="5"/>
      <c r="EU92" s="5">
        <f t="shared" si="88"/>
        <v>-43.75</v>
      </c>
      <c r="EV92" s="5">
        <f t="shared" si="88"/>
        <v>0</v>
      </c>
      <c r="EW92" s="5">
        <v>415</v>
      </c>
      <c r="EX92" s="5">
        <v>0</v>
      </c>
      <c r="EY92" s="5">
        <v>650</v>
      </c>
      <c r="EZ92" s="5">
        <v>0</v>
      </c>
    </row>
    <row r="93" spans="1:162" ht="18.75" x14ac:dyDescent="0.25">
      <c r="A93" s="68"/>
      <c r="B93" s="68" t="s">
        <v>246</v>
      </c>
      <c r="C93" s="91" t="s">
        <v>183</v>
      </c>
      <c r="D93" s="67" t="s">
        <v>244</v>
      </c>
      <c r="E93" s="69" t="s">
        <v>247</v>
      </c>
      <c r="F93" s="70">
        <v>2136.8199999999997</v>
      </c>
      <c r="G93" s="70">
        <v>151.47</v>
      </c>
      <c r="H93" s="70">
        <v>2196.9899999999998</v>
      </c>
      <c r="I93" s="70">
        <v>200</v>
      </c>
      <c r="J93" s="71">
        <f t="shared" ref="J93:AA93" si="261">+J91+J92</f>
        <v>2100</v>
      </c>
      <c r="K93" s="71">
        <f t="shared" si="261"/>
        <v>300</v>
      </c>
      <c r="L93" s="71">
        <f t="shared" si="261"/>
        <v>0</v>
      </c>
      <c r="M93" s="71">
        <f t="shared" si="261"/>
        <v>2400</v>
      </c>
      <c r="N93" s="71">
        <f t="shared" si="261"/>
        <v>0</v>
      </c>
      <c r="O93" s="71">
        <f t="shared" si="261"/>
        <v>0</v>
      </c>
      <c r="P93" s="71">
        <f t="shared" si="261"/>
        <v>0</v>
      </c>
      <c r="Q93" s="71">
        <f t="shared" si="261"/>
        <v>0</v>
      </c>
      <c r="R93" s="71">
        <f t="shared" si="261"/>
        <v>1650</v>
      </c>
      <c r="S93" s="71">
        <f t="shared" si="261"/>
        <v>100</v>
      </c>
      <c r="T93" s="71">
        <f t="shared" si="261"/>
        <v>0</v>
      </c>
      <c r="U93" s="71">
        <f t="shared" si="261"/>
        <v>0</v>
      </c>
      <c r="V93" s="71">
        <f t="shared" si="261"/>
        <v>2325.0700000000002</v>
      </c>
      <c r="W93" s="71">
        <f t="shared" si="261"/>
        <v>206.54</v>
      </c>
      <c r="X93" s="71">
        <f t="shared" si="261"/>
        <v>-675.07</v>
      </c>
      <c r="Y93" s="71">
        <f t="shared" si="261"/>
        <v>-106.53999999999999</v>
      </c>
      <c r="Z93" s="71">
        <f t="shared" si="261"/>
        <v>2396.1999999999998</v>
      </c>
      <c r="AA93" s="71">
        <f t="shared" si="261"/>
        <v>0</v>
      </c>
      <c r="AB93" s="70">
        <f t="shared" si="182"/>
        <v>2396.1999999999998</v>
      </c>
      <c r="AC93" s="43">
        <f t="shared" si="183"/>
        <v>0</v>
      </c>
      <c r="AD93" s="70">
        <f t="shared" ref="AD93:CP93" si="262">+AD91+AD92</f>
        <v>2396.1999999999998</v>
      </c>
      <c r="AE93" s="70">
        <f t="shared" si="262"/>
        <v>100</v>
      </c>
      <c r="AF93" s="70">
        <f t="shared" si="262"/>
        <v>90.22</v>
      </c>
      <c r="AG93" s="70">
        <f t="shared" si="262"/>
        <v>399</v>
      </c>
      <c r="AH93" s="70">
        <f t="shared" si="262"/>
        <v>25</v>
      </c>
      <c r="AI93" s="96">
        <f t="shared" si="262"/>
        <v>133</v>
      </c>
      <c r="AJ93" s="70">
        <f t="shared" si="262"/>
        <v>8</v>
      </c>
      <c r="AK93" s="70">
        <f t="shared" si="262"/>
        <v>200</v>
      </c>
      <c r="AL93" s="70">
        <f t="shared" si="262"/>
        <v>0</v>
      </c>
      <c r="AM93" s="70">
        <f t="shared" si="262"/>
        <v>599.04999999999995</v>
      </c>
      <c r="AN93" s="70">
        <f t="shared" si="262"/>
        <v>24.35</v>
      </c>
      <c r="AO93" s="70">
        <f t="shared" si="262"/>
        <v>0</v>
      </c>
      <c r="AP93" s="70">
        <f t="shared" si="262"/>
        <v>0</v>
      </c>
      <c r="AQ93" s="70">
        <f t="shared" si="262"/>
        <v>1198.05</v>
      </c>
      <c r="AR93" s="70">
        <f t="shared" si="262"/>
        <v>49.35</v>
      </c>
      <c r="AS93" s="70">
        <f t="shared" si="262"/>
        <v>0</v>
      </c>
      <c r="AT93" s="70">
        <f t="shared" si="262"/>
        <v>0</v>
      </c>
      <c r="AU93" s="70">
        <f t="shared" si="262"/>
        <v>599.04999999999995</v>
      </c>
      <c r="AV93" s="70">
        <f t="shared" si="262"/>
        <v>25</v>
      </c>
      <c r="AW93" s="70">
        <f t="shared" si="262"/>
        <v>0</v>
      </c>
      <c r="AX93" s="70">
        <f t="shared" si="262"/>
        <v>0</v>
      </c>
      <c r="AY93" s="70">
        <f t="shared" si="262"/>
        <v>1930.1</v>
      </c>
      <c r="AZ93" s="70">
        <f t="shared" si="262"/>
        <v>82.35</v>
      </c>
      <c r="BA93" s="70">
        <f t="shared" si="262"/>
        <v>2012.4499999999998</v>
      </c>
      <c r="BB93" s="70">
        <f t="shared" si="262"/>
        <v>1816.96</v>
      </c>
      <c r="BC93" s="70">
        <f t="shared" si="262"/>
        <v>79.38</v>
      </c>
      <c r="BD93" s="70">
        <f t="shared" si="262"/>
        <v>113.13999999999987</v>
      </c>
      <c r="BE93" s="70">
        <f t="shared" si="262"/>
        <v>2.9699999999999989</v>
      </c>
      <c r="BF93" s="70">
        <f t="shared" si="262"/>
        <v>363.39</v>
      </c>
      <c r="BG93" s="96">
        <f t="shared" si="262"/>
        <v>15.88</v>
      </c>
      <c r="BH93" s="96">
        <f t="shared" si="262"/>
        <v>115.13</v>
      </c>
      <c r="BI93" s="96">
        <f t="shared" si="262"/>
        <v>6.46</v>
      </c>
      <c r="BJ93" s="96">
        <f t="shared" si="262"/>
        <v>0</v>
      </c>
      <c r="BK93" s="96">
        <f t="shared" si="262"/>
        <v>0</v>
      </c>
      <c r="BL93" s="96">
        <f t="shared" si="262"/>
        <v>2045.23</v>
      </c>
      <c r="BM93" s="96">
        <f t="shared" si="262"/>
        <v>88.809999999999988</v>
      </c>
      <c r="BN93" s="96">
        <f t="shared" si="262"/>
        <v>2134.04</v>
      </c>
      <c r="BO93" s="96">
        <f t="shared" si="262"/>
        <v>1935.41</v>
      </c>
      <c r="BP93" s="96">
        <f t="shared" si="262"/>
        <v>79.569999999999993</v>
      </c>
      <c r="BQ93" s="70">
        <f t="shared" si="262"/>
        <v>109.81999999999994</v>
      </c>
      <c r="BR93" s="70">
        <f t="shared" si="262"/>
        <v>9.2399999999999949</v>
      </c>
      <c r="BS93" s="70">
        <f t="shared" si="262"/>
        <v>175.95</v>
      </c>
      <c r="BT93" s="70">
        <f t="shared" si="262"/>
        <v>7.23</v>
      </c>
      <c r="BU93" s="70">
        <f t="shared" si="262"/>
        <v>66.13</v>
      </c>
      <c r="BV93" s="70">
        <f t="shared" si="262"/>
        <v>0</v>
      </c>
      <c r="BW93" s="70">
        <f t="shared" si="262"/>
        <v>30</v>
      </c>
      <c r="BX93" s="70">
        <f t="shared" si="262"/>
        <v>50</v>
      </c>
      <c r="BY93" s="70">
        <f t="shared" si="262"/>
        <v>0</v>
      </c>
      <c r="BZ93" s="70">
        <f t="shared" si="262"/>
        <v>0</v>
      </c>
      <c r="CA93" s="70">
        <f t="shared" si="262"/>
        <v>2141.3599999999997</v>
      </c>
      <c r="CB93" s="70">
        <f t="shared" si="262"/>
        <v>138.81</v>
      </c>
      <c r="CC93" s="70">
        <f t="shared" si="262"/>
        <v>2355.5</v>
      </c>
      <c r="CD93" s="70">
        <f t="shared" si="262"/>
        <v>159.63</v>
      </c>
      <c r="CE93" s="70">
        <f t="shared" si="262"/>
        <v>196</v>
      </c>
      <c r="CF93" s="70">
        <f t="shared" si="262"/>
        <v>13</v>
      </c>
      <c r="CG93" s="70">
        <f t="shared" si="262"/>
        <v>535.33999999999992</v>
      </c>
      <c r="CH93" s="96">
        <f t="shared" si="262"/>
        <v>34.700000000000003</v>
      </c>
      <c r="CI93" s="70">
        <f t="shared" si="262"/>
        <v>0</v>
      </c>
      <c r="CJ93" s="70">
        <f t="shared" si="262"/>
        <v>0</v>
      </c>
      <c r="CK93" s="70">
        <f t="shared" si="262"/>
        <v>565</v>
      </c>
      <c r="CL93" s="70">
        <f t="shared" si="262"/>
        <v>35</v>
      </c>
      <c r="CM93" s="70">
        <f t="shared" si="262"/>
        <v>0</v>
      </c>
      <c r="CN93" s="70">
        <f t="shared" si="262"/>
        <v>100</v>
      </c>
      <c r="CO93" s="70">
        <f t="shared" si="262"/>
        <v>2555</v>
      </c>
      <c r="CP93" s="70">
        <f t="shared" si="262"/>
        <v>386</v>
      </c>
      <c r="CQ93" s="70">
        <f t="shared" ref="CQ93:FA93" si="263">+CQ91+CQ92</f>
        <v>2260</v>
      </c>
      <c r="CR93" s="70">
        <f t="shared" si="263"/>
        <v>386</v>
      </c>
      <c r="CS93" s="70">
        <f t="shared" si="263"/>
        <v>2260</v>
      </c>
      <c r="CT93" s="70">
        <f t="shared" si="263"/>
        <v>386</v>
      </c>
      <c r="CU93" s="70">
        <f t="shared" si="263"/>
        <v>2260</v>
      </c>
      <c r="CV93" s="70">
        <f t="shared" si="263"/>
        <v>386</v>
      </c>
      <c r="CW93" s="70">
        <f t="shared" si="263"/>
        <v>565</v>
      </c>
      <c r="CX93" s="70">
        <f t="shared" si="263"/>
        <v>46.5</v>
      </c>
      <c r="CY93" s="70">
        <f t="shared" si="263"/>
        <v>0</v>
      </c>
      <c r="CZ93" s="70">
        <f t="shared" si="263"/>
        <v>0</v>
      </c>
      <c r="DA93" s="70">
        <f t="shared" si="263"/>
        <v>1326</v>
      </c>
      <c r="DB93" s="70">
        <f t="shared" si="263"/>
        <v>194.5</v>
      </c>
      <c r="DC93" s="70">
        <f t="shared" si="263"/>
        <v>1259.81</v>
      </c>
      <c r="DD93" s="70">
        <f t="shared" si="263"/>
        <v>180.28</v>
      </c>
      <c r="DE93" s="70">
        <f t="shared" si="263"/>
        <v>66.190000000000055</v>
      </c>
      <c r="DF93" s="70">
        <f t="shared" si="263"/>
        <v>14.219999999999999</v>
      </c>
      <c r="DG93" s="70">
        <f t="shared" si="263"/>
        <v>503.75</v>
      </c>
      <c r="DH93" s="70">
        <f t="shared" si="263"/>
        <v>96.5</v>
      </c>
      <c r="DI93" s="70">
        <f t="shared" si="263"/>
        <v>437.55999999999995</v>
      </c>
      <c r="DJ93" s="70">
        <f t="shared" si="263"/>
        <v>82.28</v>
      </c>
      <c r="DK93" s="70">
        <f t="shared" si="263"/>
        <v>0</v>
      </c>
      <c r="DL93" s="70">
        <f t="shared" si="263"/>
        <v>0</v>
      </c>
      <c r="DM93" s="70">
        <f t="shared" si="263"/>
        <v>1763.56</v>
      </c>
      <c r="DN93" s="70">
        <f t="shared" si="263"/>
        <v>276.77999999999997</v>
      </c>
      <c r="DO93" s="70">
        <f t="shared" si="263"/>
        <v>1744.3</v>
      </c>
      <c r="DP93" s="70">
        <f t="shared" si="263"/>
        <v>213.03</v>
      </c>
      <c r="DQ93" s="70">
        <f t="shared" si="263"/>
        <v>19.260000000000002</v>
      </c>
      <c r="DR93" s="70">
        <f t="shared" si="263"/>
        <v>63.75</v>
      </c>
      <c r="DS93" s="70">
        <f t="shared" si="263"/>
        <v>174.43</v>
      </c>
      <c r="DT93" s="70">
        <f t="shared" si="263"/>
        <v>21.303000000000001</v>
      </c>
      <c r="DU93" s="70">
        <f t="shared" si="263"/>
        <v>155.16999999999999</v>
      </c>
      <c r="DV93" s="70">
        <f t="shared" si="263"/>
        <v>-42.447000000000003</v>
      </c>
      <c r="DW93" s="70">
        <f t="shared" si="263"/>
        <v>0</v>
      </c>
      <c r="DX93" s="70">
        <f t="shared" si="263"/>
        <v>0</v>
      </c>
      <c r="DY93" s="70">
        <f t="shared" si="263"/>
        <v>110.12</v>
      </c>
      <c r="DZ93" s="70">
        <f t="shared" si="263"/>
        <v>0</v>
      </c>
      <c r="EA93" s="70">
        <f t="shared" si="263"/>
        <v>0</v>
      </c>
      <c r="EB93" s="96">
        <f t="shared" si="263"/>
        <v>0</v>
      </c>
      <c r="EC93" s="70">
        <f t="shared" si="263"/>
        <v>1873.6799999999998</v>
      </c>
      <c r="ED93" s="70">
        <f t="shared" si="263"/>
        <v>276.77999999999997</v>
      </c>
      <c r="EE93" s="70">
        <f t="shared" si="263"/>
        <v>1867.82</v>
      </c>
      <c r="EF93" s="70">
        <f t="shared" si="263"/>
        <v>215.92</v>
      </c>
      <c r="EG93" s="70">
        <f t="shared" si="263"/>
        <v>199.48000000000002</v>
      </c>
      <c r="EH93" s="70" t="e">
        <f t="shared" si="263"/>
        <v>#DIV/0!</v>
      </c>
      <c r="EI93" s="70">
        <f t="shared" si="263"/>
        <v>5.86</v>
      </c>
      <c r="EJ93" s="70">
        <f t="shared" si="263"/>
        <v>60.86</v>
      </c>
      <c r="EK93" s="70">
        <f t="shared" si="263"/>
        <v>169.81</v>
      </c>
      <c r="EL93" s="70">
        <f t="shared" si="263"/>
        <v>19.63</v>
      </c>
      <c r="EM93" s="70">
        <f t="shared" si="263"/>
        <v>163.95</v>
      </c>
      <c r="EN93" s="70">
        <f t="shared" si="263"/>
        <v>-41.230000000000004</v>
      </c>
      <c r="EO93" s="70">
        <f t="shared" si="263"/>
        <v>170</v>
      </c>
      <c r="EP93" s="70">
        <f t="shared" si="263"/>
        <v>25</v>
      </c>
      <c r="EQ93" s="66"/>
      <c r="ER93" s="46"/>
      <c r="ES93" s="46">
        <f t="shared" si="263"/>
        <v>0</v>
      </c>
      <c r="ET93" s="46">
        <f t="shared" si="263"/>
        <v>0</v>
      </c>
      <c r="EU93" s="5">
        <f t="shared" si="88"/>
        <v>-28.679999999999836</v>
      </c>
      <c r="EV93" s="5">
        <f t="shared" si="88"/>
        <v>84.220000000000027</v>
      </c>
      <c r="EW93" s="46">
        <f t="shared" si="263"/>
        <v>2015</v>
      </c>
      <c r="EX93" s="46">
        <f t="shared" si="263"/>
        <v>386</v>
      </c>
      <c r="EY93" s="46">
        <f t="shared" si="263"/>
        <v>2350</v>
      </c>
      <c r="EZ93" s="46">
        <f t="shared" si="263"/>
        <v>150</v>
      </c>
      <c r="FA93" s="46">
        <f t="shared" si="263"/>
        <v>0</v>
      </c>
    </row>
    <row r="94" spans="1:162" ht="18.75" x14ac:dyDescent="0.25">
      <c r="A94" s="68">
        <v>4</v>
      </c>
      <c r="B94" s="68" t="s">
        <v>248</v>
      </c>
      <c r="C94" s="91" t="s">
        <v>136</v>
      </c>
      <c r="D94" s="67" t="s">
        <v>249</v>
      </c>
      <c r="E94" s="69" t="s">
        <v>250</v>
      </c>
      <c r="F94" s="40">
        <v>1639.32</v>
      </c>
      <c r="G94" s="40">
        <v>407.3</v>
      </c>
      <c r="H94" s="40">
        <v>1639.32</v>
      </c>
      <c r="I94" s="70">
        <v>407.3</v>
      </c>
      <c r="J94" s="71">
        <v>2124.9960000000001</v>
      </c>
      <c r="K94" s="71">
        <v>0</v>
      </c>
      <c r="L94" s="71">
        <v>0</v>
      </c>
      <c r="M94" s="71">
        <f t="shared" si="246"/>
        <v>2124.9960000000001</v>
      </c>
      <c r="N94" s="71">
        <v>0</v>
      </c>
      <c r="O94" s="71">
        <v>0</v>
      </c>
      <c r="P94" s="71">
        <v>0</v>
      </c>
      <c r="Q94" s="71">
        <f t="shared" ref="Q94:Q97" si="264">N94+O94+P94</f>
        <v>0</v>
      </c>
      <c r="R94" s="71">
        <f>+Q94+M94</f>
        <v>2124.9960000000001</v>
      </c>
      <c r="S94" s="71">
        <v>660</v>
      </c>
      <c r="T94" s="92"/>
      <c r="U94" s="92"/>
      <c r="V94" s="70">
        <f t="shared" ref="V94:V97" si="265">ROUND(H94*1.0583,2)</f>
        <v>1734.89</v>
      </c>
      <c r="W94" s="70">
        <f t="shared" ref="W94:W97" si="266">ROUND(I94*1.0327,2)</f>
        <v>420.62</v>
      </c>
      <c r="X94" s="70">
        <f t="shared" si="170"/>
        <v>390.10599999999999</v>
      </c>
      <c r="Y94" s="70">
        <f t="shared" si="170"/>
        <v>239.38</v>
      </c>
      <c r="Z94" s="70">
        <v>1734.89</v>
      </c>
      <c r="AA94" s="70"/>
      <c r="AB94" s="70">
        <f t="shared" si="182"/>
        <v>1734.89</v>
      </c>
      <c r="AC94" s="43">
        <f t="shared" si="183"/>
        <v>0</v>
      </c>
      <c r="AD94" s="70">
        <f t="shared" ref="AD94:AE97" si="267">IF(X94&gt;0,V94,R94)</f>
        <v>1734.89</v>
      </c>
      <c r="AE94" s="70">
        <f t="shared" si="267"/>
        <v>420.62</v>
      </c>
      <c r="AF94" s="70">
        <f t="shared" si="184"/>
        <v>595.45000000000005</v>
      </c>
      <c r="AG94" s="43">
        <f t="shared" si="171"/>
        <v>434</v>
      </c>
      <c r="AH94" s="43">
        <f t="shared" si="171"/>
        <v>105</v>
      </c>
      <c r="AI94" s="93">
        <f t="shared" si="172"/>
        <v>145</v>
      </c>
      <c r="AJ94" s="43">
        <f t="shared" si="172"/>
        <v>35</v>
      </c>
      <c r="AK94" s="43"/>
      <c r="AL94" s="43"/>
      <c r="AM94" s="43">
        <f t="shared" si="185"/>
        <v>433.72</v>
      </c>
      <c r="AN94" s="43">
        <f t="shared" si="186"/>
        <v>102.42</v>
      </c>
      <c r="AO94" s="43"/>
      <c r="AP94" s="43"/>
      <c r="AQ94" s="43">
        <f t="shared" si="173"/>
        <v>867.72</v>
      </c>
      <c r="AR94" s="43">
        <f t="shared" si="173"/>
        <v>207.42000000000002</v>
      </c>
      <c r="AS94" s="43"/>
      <c r="AT94" s="43">
        <v>50</v>
      </c>
      <c r="AU94" s="43">
        <f t="shared" si="260"/>
        <v>433.72</v>
      </c>
      <c r="AV94" s="43">
        <f t="shared" si="257"/>
        <v>105.16</v>
      </c>
      <c r="AW94" s="43"/>
      <c r="AX94" s="43">
        <f>150+70</f>
        <v>220</v>
      </c>
      <c r="AY94" s="43">
        <f t="shared" si="166"/>
        <v>1446.44</v>
      </c>
      <c r="AZ94" s="43">
        <f t="shared" si="166"/>
        <v>617.58000000000004</v>
      </c>
      <c r="BA94" s="43">
        <f t="shared" si="167"/>
        <v>2064.02</v>
      </c>
      <c r="BB94" s="60">
        <v>1385.79</v>
      </c>
      <c r="BC94" s="60">
        <v>589.89</v>
      </c>
      <c r="BD94" s="60">
        <f t="shared" si="168"/>
        <v>60.650000000000091</v>
      </c>
      <c r="BE94" s="60">
        <f t="shared" si="168"/>
        <v>27.690000000000055</v>
      </c>
      <c r="BF94" s="60">
        <f t="shared" si="169"/>
        <v>277.16000000000003</v>
      </c>
      <c r="BG94" s="60">
        <f t="shared" si="169"/>
        <v>117.98</v>
      </c>
      <c r="BH94" s="43">
        <v>108.26</v>
      </c>
      <c r="BI94" s="43">
        <v>0</v>
      </c>
      <c r="BJ94" s="43"/>
      <c r="BK94" s="43"/>
      <c r="BL94" s="43">
        <f t="shared" si="180"/>
        <v>1554.7</v>
      </c>
      <c r="BM94" s="43">
        <f t="shared" si="180"/>
        <v>617.58000000000004</v>
      </c>
      <c r="BN94" s="43">
        <f t="shared" si="187"/>
        <v>2172.2800000000002</v>
      </c>
      <c r="BO94" s="43">
        <v>1531.62</v>
      </c>
      <c r="BP94" s="93">
        <v>615.53</v>
      </c>
      <c r="BQ94" s="43">
        <f t="shared" si="188"/>
        <v>23.080000000000155</v>
      </c>
      <c r="BR94" s="43">
        <f t="shared" si="188"/>
        <v>2.0500000000000682</v>
      </c>
      <c r="BS94" s="43">
        <f t="shared" si="189"/>
        <v>139.24</v>
      </c>
      <c r="BT94" s="43">
        <f t="shared" si="189"/>
        <v>55.96</v>
      </c>
      <c r="BU94" s="43">
        <f t="shared" si="212"/>
        <v>116.15999999999985</v>
      </c>
      <c r="BV94" s="43">
        <f t="shared" ref="BV94:BV106" si="268">ROUND(BT94-BR94,2)</f>
        <v>53.91</v>
      </c>
      <c r="BW94" s="43"/>
      <c r="BX94" s="43">
        <v>51.49</v>
      </c>
      <c r="BY94" s="43"/>
      <c r="BZ94" s="43"/>
      <c r="CA94" s="43">
        <v>1670.86</v>
      </c>
      <c r="CB94" s="43">
        <v>722.98</v>
      </c>
      <c r="CC94" s="92">
        <v>1837.95</v>
      </c>
      <c r="CD94" s="92">
        <v>831.43</v>
      </c>
      <c r="CE94" s="92">
        <v>153</v>
      </c>
      <c r="CF94" s="92">
        <v>69</v>
      </c>
      <c r="CG94" s="92">
        <f t="shared" si="190"/>
        <v>417.72</v>
      </c>
      <c r="CH94" s="92">
        <f t="shared" si="190"/>
        <v>180.75</v>
      </c>
      <c r="CI94" s="43"/>
      <c r="CJ94" s="43"/>
      <c r="CK94" s="43">
        <v>405</v>
      </c>
      <c r="CL94" s="43">
        <v>110</v>
      </c>
      <c r="CM94" s="43">
        <v>5</v>
      </c>
      <c r="CN94" s="43">
        <v>5</v>
      </c>
      <c r="CO94" s="43">
        <v>1900</v>
      </c>
      <c r="CP94" s="43">
        <v>500</v>
      </c>
      <c r="CQ94" s="43">
        <f t="shared" si="191"/>
        <v>1620</v>
      </c>
      <c r="CR94" s="43">
        <f t="shared" si="191"/>
        <v>440</v>
      </c>
      <c r="CS94" s="43">
        <f t="shared" si="192"/>
        <v>1620</v>
      </c>
      <c r="CT94" s="43">
        <f t="shared" si="192"/>
        <v>440</v>
      </c>
      <c r="CU94" s="43">
        <f t="shared" si="192"/>
        <v>1620</v>
      </c>
      <c r="CV94" s="43">
        <f t="shared" si="192"/>
        <v>440</v>
      </c>
      <c r="CW94" s="43">
        <f t="shared" si="193"/>
        <v>405</v>
      </c>
      <c r="CX94" s="43">
        <f t="shared" si="193"/>
        <v>110</v>
      </c>
      <c r="CY94" s="43"/>
      <c r="CZ94" s="43">
        <v>70</v>
      </c>
      <c r="DA94" s="43">
        <f t="shared" si="194"/>
        <v>968</v>
      </c>
      <c r="DB94" s="43">
        <f t="shared" si="194"/>
        <v>364</v>
      </c>
      <c r="DC94" s="43">
        <v>959.19</v>
      </c>
      <c r="DD94" s="43">
        <v>350.83</v>
      </c>
      <c r="DE94" s="43">
        <f t="shared" si="195"/>
        <v>8.8099999999999454</v>
      </c>
      <c r="DF94" s="43">
        <f t="shared" si="195"/>
        <v>13.170000000000016</v>
      </c>
      <c r="DG94" s="43">
        <f>ROUND(0.25*(MIN(CU94,EW94)),2)</f>
        <v>405</v>
      </c>
      <c r="DH94" s="43">
        <f>ROUND(0.25*(MIN(CV94,EX94)),2)</f>
        <v>110</v>
      </c>
      <c r="DI94" s="43">
        <f t="shared" si="196"/>
        <v>396.19000000000005</v>
      </c>
      <c r="DJ94" s="43">
        <f>+DH94-DF94-20.83</f>
        <v>75.999999999999986</v>
      </c>
      <c r="DK94" s="43">
        <v>50</v>
      </c>
      <c r="DL94" s="43"/>
      <c r="DM94" s="43">
        <f t="shared" si="197"/>
        <v>1414.19</v>
      </c>
      <c r="DN94" s="43">
        <f t="shared" si="197"/>
        <v>440</v>
      </c>
      <c r="DO94" s="94">
        <v>1350.4</v>
      </c>
      <c r="DP94" s="95">
        <v>475.46</v>
      </c>
      <c r="DQ94" s="60">
        <f t="shared" si="198"/>
        <v>63.79</v>
      </c>
      <c r="DR94" s="60">
        <f t="shared" si="198"/>
        <v>-35.46</v>
      </c>
      <c r="DS94" s="60">
        <f t="shared" si="199"/>
        <v>135.04000000000002</v>
      </c>
      <c r="DT94" s="60">
        <f t="shared" si="199"/>
        <v>47.545999999999999</v>
      </c>
      <c r="DU94" s="60">
        <f t="shared" si="200"/>
        <v>71.250000000000028</v>
      </c>
      <c r="DV94" s="60">
        <f t="shared" si="200"/>
        <v>83.006</v>
      </c>
      <c r="DW94" s="60"/>
      <c r="DX94" s="60">
        <v>50</v>
      </c>
      <c r="DY94" s="60">
        <f t="shared" si="214"/>
        <v>71.25</v>
      </c>
      <c r="DZ94" s="60">
        <f t="shared" si="181"/>
        <v>133.01</v>
      </c>
      <c r="EA94" s="60"/>
      <c r="EB94" s="60"/>
      <c r="EC94" s="43">
        <f t="shared" si="201"/>
        <v>1485.44</v>
      </c>
      <c r="ED94" s="43">
        <f t="shared" si="201"/>
        <v>573.01</v>
      </c>
      <c r="EE94" s="43">
        <v>1474.9</v>
      </c>
      <c r="EF94" s="43">
        <v>492.18</v>
      </c>
      <c r="EG94" s="43">
        <f t="shared" si="245"/>
        <v>99.29</v>
      </c>
      <c r="EH94" s="43">
        <f t="shared" si="245"/>
        <v>85.89</v>
      </c>
      <c r="EI94" s="43">
        <f t="shared" si="202"/>
        <v>10.54</v>
      </c>
      <c r="EJ94" s="43">
        <f t="shared" si="202"/>
        <v>80.83</v>
      </c>
      <c r="EK94" s="43">
        <f t="shared" si="203"/>
        <v>134.08000000000001</v>
      </c>
      <c r="EL94" s="43">
        <f t="shared" si="203"/>
        <v>44.74</v>
      </c>
      <c r="EM94" s="43">
        <f t="shared" si="204"/>
        <v>123.54000000000002</v>
      </c>
      <c r="EN94" s="43">
        <f t="shared" si="204"/>
        <v>-36.089999999999996</v>
      </c>
      <c r="EO94" s="43">
        <v>130</v>
      </c>
      <c r="EP94" s="43">
        <v>0</v>
      </c>
      <c r="EQ94" s="5"/>
      <c r="ER94" s="5"/>
      <c r="ES94" s="5"/>
      <c r="ET94" s="5"/>
      <c r="EU94" s="5">
        <f t="shared" si="88"/>
        <v>84.559999999999945</v>
      </c>
      <c r="EV94" s="5">
        <f t="shared" si="88"/>
        <v>41.990000000000009</v>
      </c>
      <c r="EW94" s="5">
        <v>1700</v>
      </c>
      <c r="EX94" s="45">
        <v>615</v>
      </c>
      <c r="EY94" s="5">
        <v>1925</v>
      </c>
      <c r="EZ94" s="5">
        <v>670</v>
      </c>
    </row>
    <row r="95" spans="1:162" ht="18.75" x14ac:dyDescent="0.25">
      <c r="A95" s="68">
        <v>5</v>
      </c>
      <c r="B95" s="68" t="s">
        <v>251</v>
      </c>
      <c r="C95" s="91" t="s">
        <v>252</v>
      </c>
      <c r="D95" s="67" t="s">
        <v>253</v>
      </c>
      <c r="E95" s="69" t="s">
        <v>254</v>
      </c>
      <c r="F95" s="40">
        <v>465.8</v>
      </c>
      <c r="G95" s="40">
        <v>8.7099999999999991</v>
      </c>
      <c r="H95" s="40">
        <v>465.8</v>
      </c>
      <c r="I95" s="70">
        <v>8.7099999999999991</v>
      </c>
      <c r="J95" s="71">
        <v>650</v>
      </c>
      <c r="K95" s="71">
        <v>0</v>
      </c>
      <c r="L95" s="71">
        <v>0</v>
      </c>
      <c r="M95" s="71">
        <f t="shared" si="246"/>
        <v>650</v>
      </c>
      <c r="N95" s="71">
        <v>0</v>
      </c>
      <c r="O95" s="71">
        <v>0</v>
      </c>
      <c r="P95" s="71">
        <v>0</v>
      </c>
      <c r="Q95" s="71">
        <f t="shared" si="264"/>
        <v>0</v>
      </c>
      <c r="R95" s="71">
        <f>+Q95+M95</f>
        <v>650</v>
      </c>
      <c r="S95" s="71">
        <v>70</v>
      </c>
      <c r="T95" s="92"/>
      <c r="U95" s="92"/>
      <c r="V95" s="70">
        <f t="shared" si="265"/>
        <v>492.96</v>
      </c>
      <c r="W95" s="70">
        <f t="shared" si="266"/>
        <v>8.99</v>
      </c>
      <c r="X95" s="70">
        <f t="shared" si="170"/>
        <v>157.04000000000002</v>
      </c>
      <c r="Y95" s="70">
        <f t="shared" si="170"/>
        <v>61.01</v>
      </c>
      <c r="Z95" s="70">
        <v>492.96</v>
      </c>
      <c r="AA95" s="70"/>
      <c r="AB95" s="70">
        <f t="shared" si="182"/>
        <v>492.96</v>
      </c>
      <c r="AC95" s="43">
        <f t="shared" si="183"/>
        <v>0</v>
      </c>
      <c r="AD95" s="70">
        <f t="shared" si="267"/>
        <v>492.96</v>
      </c>
      <c r="AE95" s="70">
        <f>IF(Y95&gt;0,W95,S95)+75.2</f>
        <v>84.19</v>
      </c>
      <c r="AF95" s="70">
        <f t="shared" si="184"/>
        <v>63.15</v>
      </c>
      <c r="AG95" s="43">
        <f t="shared" si="171"/>
        <v>123</v>
      </c>
      <c r="AH95" s="43">
        <f>ROUND(AE95/4,0)-19+80</f>
        <v>82</v>
      </c>
      <c r="AI95" s="93">
        <f t="shared" si="172"/>
        <v>41</v>
      </c>
      <c r="AJ95" s="43">
        <f>ROUND(AE95/12,0)-6</f>
        <v>1</v>
      </c>
      <c r="AK95" s="43"/>
      <c r="AL95" s="43"/>
      <c r="AM95" s="43">
        <f t="shared" si="185"/>
        <v>123.24</v>
      </c>
      <c r="AN95" s="43">
        <f>ROUND(AE95*24.35%,2)-18.31</f>
        <v>2.1900000000000013</v>
      </c>
      <c r="AO95" s="43"/>
      <c r="AP95" s="43"/>
      <c r="AQ95" s="43">
        <f t="shared" si="173"/>
        <v>246.24</v>
      </c>
      <c r="AR95" s="43">
        <f t="shared" si="173"/>
        <v>84.19</v>
      </c>
      <c r="AS95" s="43"/>
      <c r="AT95" s="43"/>
      <c r="AU95" s="43">
        <f t="shared" si="260"/>
        <v>123.24</v>
      </c>
      <c r="AV95" s="43">
        <f>ROUND(AE95*25%,2)+4.25</f>
        <v>25.3</v>
      </c>
      <c r="AW95" s="43"/>
      <c r="AX95" s="43">
        <v>31.44</v>
      </c>
      <c r="AY95" s="43">
        <f t="shared" si="166"/>
        <v>410.48</v>
      </c>
      <c r="AZ95" s="43">
        <f t="shared" si="166"/>
        <v>141.93</v>
      </c>
      <c r="BA95" s="43">
        <f t="shared" si="167"/>
        <v>552.41000000000008</v>
      </c>
      <c r="BB95" s="60">
        <v>405.67</v>
      </c>
      <c r="BC95" s="60">
        <v>134.16</v>
      </c>
      <c r="BD95" s="60">
        <f t="shared" si="168"/>
        <v>4.8100000000000023</v>
      </c>
      <c r="BE95" s="60">
        <f t="shared" si="168"/>
        <v>7.7700000000000102</v>
      </c>
      <c r="BF95" s="60">
        <f t="shared" si="169"/>
        <v>81.13</v>
      </c>
      <c r="BG95" s="60">
        <f t="shared" si="169"/>
        <v>26.83</v>
      </c>
      <c r="BH95" s="43">
        <v>38.159999999999997</v>
      </c>
      <c r="BI95" s="43">
        <v>0</v>
      </c>
      <c r="BJ95" s="43"/>
      <c r="BK95" s="43"/>
      <c r="BL95" s="43">
        <f t="shared" si="180"/>
        <v>448.64</v>
      </c>
      <c r="BM95" s="43">
        <f t="shared" si="180"/>
        <v>141.93</v>
      </c>
      <c r="BN95" s="43">
        <f t="shared" si="187"/>
        <v>590.56999999999994</v>
      </c>
      <c r="BO95" s="43">
        <v>444.51</v>
      </c>
      <c r="BP95" s="93">
        <v>144.97</v>
      </c>
      <c r="BQ95" s="43">
        <f t="shared" si="188"/>
        <v>4.1299999999999955</v>
      </c>
      <c r="BR95" s="43">
        <f t="shared" si="188"/>
        <v>-3.039999999999992</v>
      </c>
      <c r="BS95" s="43">
        <f t="shared" si="189"/>
        <v>40.409999999999997</v>
      </c>
      <c r="BT95" s="43">
        <f t="shared" si="189"/>
        <v>13.18</v>
      </c>
      <c r="BU95" s="43">
        <f t="shared" si="212"/>
        <v>36.28</v>
      </c>
      <c r="BV95" s="43">
        <f t="shared" si="268"/>
        <v>16.22</v>
      </c>
      <c r="BW95" s="43"/>
      <c r="BX95" s="43">
        <v>3.3</v>
      </c>
      <c r="BY95" s="43"/>
      <c r="BZ95" s="43"/>
      <c r="CA95" s="43">
        <v>484.91999999999996</v>
      </c>
      <c r="CB95" s="43">
        <v>161.45000000000002</v>
      </c>
      <c r="CC95" s="92">
        <v>533.41</v>
      </c>
      <c r="CD95" s="92">
        <v>185.67</v>
      </c>
      <c r="CE95" s="92">
        <v>44</v>
      </c>
      <c r="CF95" s="92">
        <v>7</v>
      </c>
      <c r="CG95" s="92">
        <f t="shared" si="190"/>
        <v>121.23</v>
      </c>
      <c r="CH95" s="92">
        <f t="shared" si="190"/>
        <v>40.36</v>
      </c>
      <c r="CI95" s="43"/>
      <c r="CJ95" s="43"/>
      <c r="CK95" s="43">
        <v>120</v>
      </c>
      <c r="CL95" s="43">
        <v>0</v>
      </c>
      <c r="CM95" s="43"/>
      <c r="CN95" s="43"/>
      <c r="CO95" s="43">
        <v>600</v>
      </c>
      <c r="CP95" s="43">
        <v>7</v>
      </c>
      <c r="CQ95" s="43">
        <f t="shared" si="191"/>
        <v>480</v>
      </c>
      <c r="CR95" s="43">
        <f>ROUND(CL95/3*12,2)+7</f>
        <v>7</v>
      </c>
      <c r="CS95" s="43">
        <v>480</v>
      </c>
      <c r="CT95" s="43">
        <v>7</v>
      </c>
      <c r="CU95" s="43">
        <v>480</v>
      </c>
      <c r="CV95" s="43">
        <f>0.5+7</f>
        <v>7.5</v>
      </c>
      <c r="CW95" s="43">
        <v>120</v>
      </c>
      <c r="CX95" s="43">
        <v>0</v>
      </c>
      <c r="CY95" s="43"/>
      <c r="CZ95" s="43"/>
      <c r="DA95" s="43">
        <v>284</v>
      </c>
      <c r="DB95" s="43">
        <v>7</v>
      </c>
      <c r="DC95" s="43">
        <v>253.51</v>
      </c>
      <c r="DD95" s="43">
        <v>5.12</v>
      </c>
      <c r="DE95" s="43">
        <v>30.490000000000009</v>
      </c>
      <c r="DF95" s="43">
        <v>1.88</v>
      </c>
      <c r="DG95" s="43">
        <v>120</v>
      </c>
      <c r="DH95" s="43">
        <v>1.75</v>
      </c>
      <c r="DI95" s="43">
        <v>89.509999999999991</v>
      </c>
      <c r="DJ95" s="43">
        <v>0</v>
      </c>
      <c r="DK95" s="43">
        <v>33.630000000000003</v>
      </c>
      <c r="DL95" s="43">
        <v>0.5</v>
      </c>
      <c r="DM95" s="43">
        <f t="shared" si="197"/>
        <v>407.14</v>
      </c>
      <c r="DN95" s="43">
        <f t="shared" si="197"/>
        <v>7.5</v>
      </c>
      <c r="DO95" s="94">
        <v>406.91</v>
      </c>
      <c r="DP95" s="95">
        <v>7.38</v>
      </c>
      <c r="DQ95" s="60">
        <f t="shared" si="198"/>
        <v>0.23</v>
      </c>
      <c r="DR95" s="60">
        <f t="shared" si="198"/>
        <v>0.12</v>
      </c>
      <c r="DS95" s="60">
        <f t="shared" si="199"/>
        <v>40.691000000000003</v>
      </c>
      <c r="DT95" s="60">
        <f t="shared" si="199"/>
        <v>0.73799999999999999</v>
      </c>
      <c r="DU95" s="60">
        <f t="shared" si="200"/>
        <v>40.461000000000006</v>
      </c>
      <c r="DV95" s="60">
        <f t="shared" si="200"/>
        <v>0.61799999999999999</v>
      </c>
      <c r="DW95" s="60"/>
      <c r="DX95" s="60"/>
      <c r="DY95" s="60">
        <f t="shared" si="214"/>
        <v>40.46</v>
      </c>
      <c r="DZ95" s="60">
        <f t="shared" si="181"/>
        <v>0.62</v>
      </c>
      <c r="EA95" s="60">
        <v>10</v>
      </c>
      <c r="EB95" s="60">
        <v>0</v>
      </c>
      <c r="EC95" s="43">
        <f t="shared" si="201"/>
        <v>457.59999999999997</v>
      </c>
      <c r="ED95" s="43">
        <f t="shared" si="201"/>
        <v>8.1199999999999992</v>
      </c>
      <c r="EE95" s="43">
        <v>456</v>
      </c>
      <c r="EF95" s="43">
        <v>7.9</v>
      </c>
      <c r="EG95" s="43">
        <f t="shared" si="245"/>
        <v>99.65</v>
      </c>
      <c r="EH95" s="43">
        <f t="shared" si="245"/>
        <v>97.29</v>
      </c>
      <c r="EI95" s="43">
        <f t="shared" si="202"/>
        <v>1.6</v>
      </c>
      <c r="EJ95" s="43">
        <f t="shared" si="202"/>
        <v>0.22</v>
      </c>
      <c r="EK95" s="43">
        <f t="shared" si="203"/>
        <v>41.45</v>
      </c>
      <c r="EL95" s="43">
        <f t="shared" si="203"/>
        <v>0.72</v>
      </c>
      <c r="EM95" s="43">
        <f t="shared" si="204"/>
        <v>39.85</v>
      </c>
      <c r="EN95" s="43">
        <f t="shared" si="204"/>
        <v>0.5</v>
      </c>
      <c r="EO95" s="43">
        <v>43</v>
      </c>
      <c r="EP95" s="43">
        <v>0.3</v>
      </c>
      <c r="EQ95" s="5"/>
      <c r="ER95" s="5"/>
      <c r="ES95" s="5"/>
      <c r="ET95" s="5"/>
      <c r="EU95" s="5">
        <f t="shared" si="88"/>
        <v>-0.59999999999996589</v>
      </c>
      <c r="EV95" s="5">
        <f t="shared" si="88"/>
        <v>6.0000000000001219E-2</v>
      </c>
      <c r="EW95" s="5">
        <v>500</v>
      </c>
      <c r="EX95" s="5">
        <v>8.48</v>
      </c>
      <c r="EY95" s="5">
        <v>650</v>
      </c>
      <c r="EZ95" s="5">
        <v>7.5</v>
      </c>
    </row>
    <row r="96" spans="1:162" ht="18.75" x14ac:dyDescent="0.25">
      <c r="A96" s="37">
        <v>6</v>
      </c>
      <c r="B96" s="37"/>
      <c r="C96" s="91" t="s">
        <v>255</v>
      </c>
      <c r="D96" s="38" t="s">
        <v>256</v>
      </c>
      <c r="E96" s="39"/>
      <c r="F96" s="40">
        <v>2921.78</v>
      </c>
      <c r="G96" s="40">
        <v>2955.42</v>
      </c>
      <c r="H96" s="40">
        <v>2921.78</v>
      </c>
      <c r="I96" s="40">
        <v>2955.42</v>
      </c>
      <c r="J96" s="41">
        <v>3400</v>
      </c>
      <c r="K96" s="41">
        <v>0</v>
      </c>
      <c r="L96" s="41">
        <v>0</v>
      </c>
      <c r="M96" s="41">
        <f t="shared" si="246"/>
        <v>3400</v>
      </c>
      <c r="N96" s="41">
        <v>0</v>
      </c>
      <c r="O96" s="41">
        <v>0</v>
      </c>
      <c r="P96" s="41">
        <v>0</v>
      </c>
      <c r="Q96" s="41">
        <f t="shared" si="264"/>
        <v>0</v>
      </c>
      <c r="R96" s="41">
        <f t="shared" ref="R96:R112" si="269">Q96+M96</f>
        <v>3400</v>
      </c>
      <c r="S96" s="41">
        <v>3500</v>
      </c>
      <c r="T96" s="92"/>
      <c r="U96" s="92"/>
      <c r="V96" s="40">
        <f t="shared" si="265"/>
        <v>3092.12</v>
      </c>
      <c r="W96" s="40">
        <f t="shared" si="266"/>
        <v>3052.06</v>
      </c>
      <c r="X96" s="43">
        <f t="shared" si="170"/>
        <v>307.88000000000011</v>
      </c>
      <c r="Y96" s="43">
        <f t="shared" si="170"/>
        <v>447.94000000000005</v>
      </c>
      <c r="Z96" s="43">
        <v>3092.12</v>
      </c>
      <c r="AA96" s="43"/>
      <c r="AB96" s="43">
        <f t="shared" si="182"/>
        <v>3092.12</v>
      </c>
      <c r="AC96" s="43">
        <f t="shared" si="183"/>
        <v>0</v>
      </c>
      <c r="AD96" s="43">
        <f t="shared" si="267"/>
        <v>3092.12</v>
      </c>
      <c r="AE96" s="43">
        <f t="shared" si="267"/>
        <v>3052.06</v>
      </c>
      <c r="AF96" s="43">
        <f t="shared" si="184"/>
        <v>3157.7</v>
      </c>
      <c r="AG96" s="43">
        <f t="shared" si="171"/>
        <v>773</v>
      </c>
      <c r="AH96" s="43">
        <f t="shared" si="171"/>
        <v>763</v>
      </c>
      <c r="AI96" s="93">
        <f t="shared" si="172"/>
        <v>258</v>
      </c>
      <c r="AJ96" s="43">
        <f t="shared" si="172"/>
        <v>254</v>
      </c>
      <c r="AK96" s="43"/>
      <c r="AL96" s="43"/>
      <c r="AM96" s="43">
        <f t="shared" si="185"/>
        <v>773.03</v>
      </c>
      <c r="AN96" s="43">
        <f t="shared" si="186"/>
        <v>743.18</v>
      </c>
      <c r="AO96" s="43"/>
      <c r="AP96" s="43"/>
      <c r="AQ96" s="43">
        <f t="shared" si="173"/>
        <v>1546.03</v>
      </c>
      <c r="AR96" s="43">
        <f t="shared" si="173"/>
        <v>1506.1799999999998</v>
      </c>
      <c r="AS96" s="43"/>
      <c r="AT96" s="43"/>
      <c r="AU96" s="43">
        <f t="shared" si="260"/>
        <v>773.03</v>
      </c>
      <c r="AV96" s="43">
        <f t="shared" si="257"/>
        <v>763.02</v>
      </c>
      <c r="AW96" s="43"/>
      <c r="AX96" s="43">
        <v>438.97</v>
      </c>
      <c r="AY96" s="43">
        <f t="shared" si="166"/>
        <v>2577.06</v>
      </c>
      <c r="AZ96" s="43">
        <f t="shared" si="166"/>
        <v>2962.17</v>
      </c>
      <c r="BA96" s="43">
        <f t="shared" si="167"/>
        <v>5539.23</v>
      </c>
      <c r="BB96" s="60">
        <v>2457.75</v>
      </c>
      <c r="BC96" s="60">
        <v>2738.5</v>
      </c>
      <c r="BD96" s="60">
        <f t="shared" si="168"/>
        <v>119.30999999999995</v>
      </c>
      <c r="BE96" s="60">
        <f t="shared" si="168"/>
        <v>223.67000000000007</v>
      </c>
      <c r="BF96" s="60">
        <f t="shared" si="169"/>
        <v>491.55</v>
      </c>
      <c r="BG96" s="60">
        <f t="shared" si="169"/>
        <v>547.70000000000005</v>
      </c>
      <c r="BH96" s="43">
        <v>186.12</v>
      </c>
      <c r="BI96" s="43">
        <v>162.02000000000001</v>
      </c>
      <c r="BJ96" s="43"/>
      <c r="BK96" s="43"/>
      <c r="BL96" s="43">
        <f t="shared" si="180"/>
        <v>2763.18</v>
      </c>
      <c r="BM96" s="43">
        <f t="shared" si="180"/>
        <v>3124.19</v>
      </c>
      <c r="BN96" s="43">
        <f t="shared" si="187"/>
        <v>5887.37</v>
      </c>
      <c r="BO96" s="43">
        <v>2703.8</v>
      </c>
      <c r="BP96" s="93">
        <v>2778.95</v>
      </c>
      <c r="BQ96" s="43">
        <f t="shared" si="188"/>
        <v>59.379999999999654</v>
      </c>
      <c r="BR96" s="43">
        <f t="shared" si="188"/>
        <v>345.24000000000024</v>
      </c>
      <c r="BS96" s="43">
        <f t="shared" si="189"/>
        <v>245.8</v>
      </c>
      <c r="BT96" s="43">
        <f t="shared" si="189"/>
        <v>252.63</v>
      </c>
      <c r="BU96" s="43">
        <f t="shared" si="212"/>
        <v>186.42000000000036</v>
      </c>
      <c r="BV96" s="43">
        <v>0</v>
      </c>
      <c r="BW96" s="43">
        <v>53.58</v>
      </c>
      <c r="BX96" s="43">
        <v>300</v>
      </c>
      <c r="BY96" s="43"/>
      <c r="BZ96" s="43"/>
      <c r="CA96" s="43">
        <v>3003.1800000000003</v>
      </c>
      <c r="CB96" s="43">
        <v>3424.19</v>
      </c>
      <c r="CC96" s="92">
        <v>3303.5</v>
      </c>
      <c r="CD96" s="92">
        <v>3937.82</v>
      </c>
      <c r="CE96" s="92">
        <v>275</v>
      </c>
      <c r="CF96" s="92">
        <v>328</v>
      </c>
      <c r="CG96" s="92">
        <f t="shared" si="190"/>
        <v>750.8</v>
      </c>
      <c r="CH96" s="92">
        <f t="shared" si="190"/>
        <v>856.05</v>
      </c>
      <c r="CI96" s="43"/>
      <c r="CJ96" s="43"/>
      <c r="CK96" s="43">
        <v>710</v>
      </c>
      <c r="CL96" s="72">
        <f>1162-162-100</f>
        <v>900</v>
      </c>
      <c r="CM96" s="72"/>
      <c r="CN96" s="72"/>
      <c r="CO96" s="43">
        <v>3516</v>
      </c>
      <c r="CP96" s="43">
        <v>3580</v>
      </c>
      <c r="CQ96" s="43">
        <f t="shared" si="191"/>
        <v>2840</v>
      </c>
      <c r="CR96" s="43">
        <f t="shared" si="191"/>
        <v>3600</v>
      </c>
      <c r="CS96" s="43">
        <f t="shared" si="192"/>
        <v>2840</v>
      </c>
      <c r="CT96" s="43">
        <f t="shared" si="192"/>
        <v>3580</v>
      </c>
      <c r="CU96" s="43">
        <f>IF(CQ96&lt;CS96,CQ96,CS96)+560</f>
        <v>3400</v>
      </c>
      <c r="CV96" s="43">
        <f>IF(CR96&lt;CT96,CR96,CT96)+435</f>
        <v>4015</v>
      </c>
      <c r="CW96" s="43">
        <v>710</v>
      </c>
      <c r="CX96" s="43">
        <v>895</v>
      </c>
      <c r="CY96" s="43">
        <v>235</v>
      </c>
      <c r="CZ96" s="43">
        <v>300</v>
      </c>
      <c r="DA96" s="43">
        <f t="shared" si="194"/>
        <v>1930</v>
      </c>
      <c r="DB96" s="43">
        <f t="shared" si="194"/>
        <v>2423</v>
      </c>
      <c r="DC96" s="43">
        <v>1709.46</v>
      </c>
      <c r="DD96" s="43">
        <v>2208.04</v>
      </c>
      <c r="DE96" s="43">
        <f t="shared" si="195"/>
        <v>220.53999999999996</v>
      </c>
      <c r="DF96" s="43">
        <f t="shared" si="195"/>
        <v>214.96000000000004</v>
      </c>
      <c r="DG96" s="43">
        <f>ROUND(0.25*(MIN(CU96,EW96)),2)</f>
        <v>850</v>
      </c>
      <c r="DH96" s="43">
        <f>ROUND(0.25*(MIN(CV96,EX96)),2)</f>
        <v>1003.75</v>
      </c>
      <c r="DI96" s="43">
        <f t="shared" si="196"/>
        <v>629.46</v>
      </c>
      <c r="DJ96" s="43">
        <f>+DH96-DF96</f>
        <v>788.79</v>
      </c>
      <c r="DK96" s="43"/>
      <c r="DL96" s="43"/>
      <c r="DM96" s="43">
        <f t="shared" si="197"/>
        <v>2559.46</v>
      </c>
      <c r="DN96" s="43">
        <f t="shared" si="197"/>
        <v>3211.79</v>
      </c>
      <c r="DO96" s="94">
        <v>2439.7600000000002</v>
      </c>
      <c r="DP96" s="103">
        <v>2932.98</v>
      </c>
      <c r="DQ96" s="60">
        <f t="shared" si="198"/>
        <v>119.7</v>
      </c>
      <c r="DR96" s="60">
        <f t="shared" si="198"/>
        <v>278.81</v>
      </c>
      <c r="DS96" s="60">
        <f t="shared" si="199"/>
        <v>243.97600000000003</v>
      </c>
      <c r="DT96" s="60">
        <f t="shared" si="199"/>
        <v>293.298</v>
      </c>
      <c r="DU96" s="60">
        <f t="shared" si="200"/>
        <v>124.27600000000002</v>
      </c>
      <c r="DV96" s="60">
        <f t="shared" si="200"/>
        <v>14.488</v>
      </c>
      <c r="DW96" s="60"/>
      <c r="DX96" s="60"/>
      <c r="DY96" s="60">
        <f t="shared" si="214"/>
        <v>124.28</v>
      </c>
      <c r="DZ96" s="60">
        <v>560</v>
      </c>
      <c r="EA96" s="60"/>
      <c r="EB96" s="60"/>
      <c r="EC96" s="43">
        <f t="shared" si="201"/>
        <v>2683.7400000000002</v>
      </c>
      <c r="ED96" s="43">
        <f t="shared" si="201"/>
        <v>3771.79</v>
      </c>
      <c r="EE96" s="43">
        <v>2677.43</v>
      </c>
      <c r="EF96" s="43">
        <v>3516.45</v>
      </c>
      <c r="EG96" s="43">
        <f t="shared" si="245"/>
        <v>99.76</v>
      </c>
      <c r="EH96" s="43">
        <f t="shared" si="245"/>
        <v>93.23</v>
      </c>
      <c r="EI96" s="43">
        <f t="shared" si="202"/>
        <v>6.31</v>
      </c>
      <c r="EJ96" s="43">
        <f t="shared" si="202"/>
        <v>255.34</v>
      </c>
      <c r="EK96" s="43">
        <f t="shared" si="203"/>
        <v>243.4</v>
      </c>
      <c r="EL96" s="43">
        <f t="shared" si="203"/>
        <v>319.68</v>
      </c>
      <c r="EM96" s="43">
        <f t="shared" si="204"/>
        <v>237.09</v>
      </c>
      <c r="EN96" s="43">
        <f t="shared" si="204"/>
        <v>64.34</v>
      </c>
      <c r="EO96" s="43">
        <v>250</v>
      </c>
      <c r="EP96" s="43">
        <v>500</v>
      </c>
      <c r="EQ96" s="5"/>
      <c r="ER96" s="5"/>
      <c r="ES96" s="5"/>
      <c r="ET96" s="48">
        <v>1173.21</v>
      </c>
      <c r="EU96" s="5">
        <f t="shared" si="88"/>
        <v>466.25999999999976</v>
      </c>
      <c r="EV96" s="5">
        <f t="shared" si="88"/>
        <v>113.21000000000004</v>
      </c>
      <c r="EW96" s="5">
        <v>3400</v>
      </c>
      <c r="EX96" s="54">
        <v>4385</v>
      </c>
      <c r="EY96" s="5">
        <v>4000</v>
      </c>
      <c r="EZ96" s="5">
        <v>5000</v>
      </c>
    </row>
    <row r="97" spans="1:162" ht="18.75" x14ac:dyDescent="0.25">
      <c r="A97" s="37">
        <v>7</v>
      </c>
      <c r="B97" s="37"/>
      <c r="C97" s="91" t="s">
        <v>255</v>
      </c>
      <c r="D97" s="38" t="s">
        <v>257</v>
      </c>
      <c r="E97" s="39"/>
      <c r="F97" s="40">
        <v>379.03999999999996</v>
      </c>
      <c r="G97" s="40">
        <v>0</v>
      </c>
      <c r="H97" s="40">
        <v>420.03999999999996</v>
      </c>
      <c r="I97" s="40">
        <v>0</v>
      </c>
      <c r="J97" s="41">
        <v>497.08</v>
      </c>
      <c r="K97" s="41">
        <v>0</v>
      </c>
      <c r="L97" s="41">
        <v>0</v>
      </c>
      <c r="M97" s="41">
        <f t="shared" si="246"/>
        <v>497.08</v>
      </c>
      <c r="N97" s="41">
        <v>0</v>
      </c>
      <c r="O97" s="41">
        <v>0</v>
      </c>
      <c r="P97" s="41">
        <v>0</v>
      </c>
      <c r="Q97" s="41">
        <f t="shared" si="264"/>
        <v>0</v>
      </c>
      <c r="R97" s="41">
        <f t="shared" si="269"/>
        <v>497.08</v>
      </c>
      <c r="S97" s="41">
        <v>0</v>
      </c>
      <c r="T97" s="92"/>
      <c r="U97" s="92"/>
      <c r="V97" s="40">
        <f t="shared" si="265"/>
        <v>444.53</v>
      </c>
      <c r="W97" s="40">
        <f t="shared" si="266"/>
        <v>0</v>
      </c>
      <c r="X97" s="43">
        <f t="shared" si="170"/>
        <v>52.550000000000011</v>
      </c>
      <c r="Y97" s="43">
        <f t="shared" si="170"/>
        <v>0</v>
      </c>
      <c r="Z97" s="43">
        <v>444.53</v>
      </c>
      <c r="AA97" s="43"/>
      <c r="AB97" s="43">
        <f t="shared" si="182"/>
        <v>444.53</v>
      </c>
      <c r="AC97" s="43">
        <f t="shared" si="183"/>
        <v>0</v>
      </c>
      <c r="AD97" s="43">
        <f t="shared" si="267"/>
        <v>444.53</v>
      </c>
      <c r="AE97" s="43">
        <f t="shared" si="267"/>
        <v>0</v>
      </c>
      <c r="AF97" s="43">
        <f t="shared" si="184"/>
        <v>0</v>
      </c>
      <c r="AG97" s="43">
        <f t="shared" si="171"/>
        <v>111</v>
      </c>
      <c r="AH97" s="43">
        <f t="shared" si="171"/>
        <v>0</v>
      </c>
      <c r="AI97" s="93">
        <f t="shared" si="172"/>
        <v>37</v>
      </c>
      <c r="AJ97" s="43">
        <f t="shared" si="172"/>
        <v>0</v>
      </c>
      <c r="AK97" s="43"/>
      <c r="AL97" s="43"/>
      <c r="AM97" s="43">
        <f t="shared" si="185"/>
        <v>111.13</v>
      </c>
      <c r="AN97" s="43">
        <f t="shared" si="186"/>
        <v>0</v>
      </c>
      <c r="AO97" s="43"/>
      <c r="AP97" s="43"/>
      <c r="AQ97" s="43">
        <f t="shared" si="173"/>
        <v>222.13</v>
      </c>
      <c r="AR97" s="43">
        <f t="shared" si="173"/>
        <v>0</v>
      </c>
      <c r="AS97" s="43"/>
      <c r="AT97" s="43"/>
      <c r="AU97" s="43">
        <f t="shared" si="260"/>
        <v>111.13</v>
      </c>
      <c r="AV97" s="43">
        <f t="shared" si="257"/>
        <v>0</v>
      </c>
      <c r="AW97" s="43"/>
      <c r="AX97" s="43"/>
      <c r="AY97" s="43">
        <f t="shared" si="166"/>
        <v>370.26</v>
      </c>
      <c r="AZ97" s="43">
        <f t="shared" si="166"/>
        <v>0</v>
      </c>
      <c r="BA97" s="43">
        <f t="shared" si="167"/>
        <v>370.26</v>
      </c>
      <c r="BB97" s="60">
        <v>333.26</v>
      </c>
      <c r="BC97" s="60"/>
      <c r="BD97" s="60">
        <f t="shared" si="168"/>
        <v>37</v>
      </c>
      <c r="BE97" s="60">
        <f t="shared" si="168"/>
        <v>0</v>
      </c>
      <c r="BF97" s="60">
        <f t="shared" si="169"/>
        <v>66.650000000000006</v>
      </c>
      <c r="BG97" s="60">
        <f t="shared" si="169"/>
        <v>0</v>
      </c>
      <c r="BH97" s="43">
        <v>14.83</v>
      </c>
      <c r="BI97" s="43">
        <v>0</v>
      </c>
      <c r="BJ97" s="43"/>
      <c r="BK97" s="43"/>
      <c r="BL97" s="43">
        <f t="shared" si="180"/>
        <v>385.09</v>
      </c>
      <c r="BM97" s="43">
        <f t="shared" si="180"/>
        <v>0</v>
      </c>
      <c r="BN97" s="43">
        <f t="shared" si="187"/>
        <v>385.09</v>
      </c>
      <c r="BO97" s="43">
        <v>370.26</v>
      </c>
      <c r="BP97" s="93"/>
      <c r="BQ97" s="43">
        <f t="shared" si="188"/>
        <v>14.829999999999984</v>
      </c>
      <c r="BR97" s="43">
        <f t="shared" si="188"/>
        <v>0</v>
      </c>
      <c r="BS97" s="43">
        <f t="shared" si="189"/>
        <v>33.659999999999997</v>
      </c>
      <c r="BT97" s="43">
        <f t="shared" si="189"/>
        <v>0</v>
      </c>
      <c r="BU97" s="43">
        <f t="shared" si="212"/>
        <v>18.830000000000013</v>
      </c>
      <c r="BV97" s="43">
        <f t="shared" si="268"/>
        <v>0</v>
      </c>
      <c r="BW97" s="43">
        <v>40.61</v>
      </c>
      <c r="BX97" s="43"/>
      <c r="BY97" s="43"/>
      <c r="BZ97" s="43"/>
      <c r="CA97" s="43">
        <v>444.53</v>
      </c>
      <c r="CB97" s="43">
        <v>0</v>
      </c>
      <c r="CC97" s="92">
        <v>488.98</v>
      </c>
      <c r="CD97" s="92">
        <v>0</v>
      </c>
      <c r="CE97" s="92">
        <v>41</v>
      </c>
      <c r="CF97" s="92">
        <v>0</v>
      </c>
      <c r="CG97" s="92">
        <f t="shared" si="190"/>
        <v>111.13</v>
      </c>
      <c r="CH97" s="92">
        <f t="shared" si="190"/>
        <v>0</v>
      </c>
      <c r="CI97" s="43"/>
      <c r="CJ97" s="43"/>
      <c r="CK97" s="72">
        <f>142.75-20</f>
        <v>122.75</v>
      </c>
      <c r="CL97" s="43">
        <v>0</v>
      </c>
      <c r="CM97" s="43"/>
      <c r="CN97" s="43"/>
      <c r="CO97" s="43">
        <v>571.6</v>
      </c>
      <c r="CP97" s="43"/>
      <c r="CQ97" s="43">
        <f t="shared" si="191"/>
        <v>491</v>
      </c>
      <c r="CR97" s="43">
        <f t="shared" si="191"/>
        <v>0</v>
      </c>
      <c r="CS97" s="43">
        <f t="shared" si="192"/>
        <v>491</v>
      </c>
      <c r="CT97" s="43">
        <f t="shared" si="192"/>
        <v>0</v>
      </c>
      <c r="CU97" s="43">
        <v>633.75</v>
      </c>
      <c r="CV97" s="43">
        <v>0</v>
      </c>
      <c r="CW97" s="43">
        <v>158.44</v>
      </c>
      <c r="CX97" s="43">
        <v>0</v>
      </c>
      <c r="CY97" s="43"/>
      <c r="CZ97" s="43"/>
      <c r="DA97" s="43">
        <f t="shared" si="194"/>
        <v>322.19</v>
      </c>
      <c r="DB97" s="43">
        <f t="shared" si="194"/>
        <v>0</v>
      </c>
      <c r="DC97" s="43">
        <v>267.75</v>
      </c>
      <c r="DD97" s="43">
        <v>0</v>
      </c>
      <c r="DE97" s="43">
        <f t="shared" si="195"/>
        <v>54.44</v>
      </c>
      <c r="DF97" s="43">
        <f t="shared" si="195"/>
        <v>0</v>
      </c>
      <c r="DG97" s="43">
        <f>ROUND(0.25*(MIN(CU97,EW97)),2)</f>
        <v>158.44</v>
      </c>
      <c r="DH97" s="43">
        <f>ROUND(0.25*(MIN(CV97,EX97)),2)</f>
        <v>0</v>
      </c>
      <c r="DI97" s="43">
        <f t="shared" si="196"/>
        <v>104</v>
      </c>
      <c r="DJ97" s="43">
        <f>+DH97-DF97</f>
        <v>0</v>
      </c>
      <c r="DK97" s="43"/>
      <c r="DL97" s="43"/>
      <c r="DM97" s="43">
        <f t="shared" si="197"/>
        <v>426.19</v>
      </c>
      <c r="DN97" s="43">
        <f t="shared" si="197"/>
        <v>0</v>
      </c>
      <c r="DO97" s="94">
        <v>426.19</v>
      </c>
      <c r="DP97" s="95">
        <v>0</v>
      </c>
      <c r="DQ97" s="60">
        <f t="shared" si="198"/>
        <v>0</v>
      </c>
      <c r="DR97" s="60">
        <f t="shared" si="198"/>
        <v>0</v>
      </c>
      <c r="DS97" s="60">
        <f t="shared" si="199"/>
        <v>42.619</v>
      </c>
      <c r="DT97" s="60">
        <f t="shared" si="199"/>
        <v>0</v>
      </c>
      <c r="DU97" s="60">
        <f t="shared" si="200"/>
        <v>42.619</v>
      </c>
      <c r="DV97" s="60">
        <f t="shared" si="200"/>
        <v>0</v>
      </c>
      <c r="DW97" s="60"/>
      <c r="DX97" s="60"/>
      <c r="DY97" s="60">
        <f t="shared" si="214"/>
        <v>42.62</v>
      </c>
      <c r="DZ97" s="60">
        <f t="shared" si="181"/>
        <v>0</v>
      </c>
      <c r="EA97" s="60"/>
      <c r="EB97" s="60"/>
      <c r="EC97" s="43">
        <f t="shared" si="201"/>
        <v>468.81</v>
      </c>
      <c r="ED97" s="43">
        <f t="shared" si="201"/>
        <v>0</v>
      </c>
      <c r="EE97" s="43">
        <v>426.19</v>
      </c>
      <c r="EF97" s="43">
        <v>0</v>
      </c>
      <c r="EG97" s="43">
        <f t="shared" si="245"/>
        <v>90.91</v>
      </c>
      <c r="EH97" s="43" t="e">
        <f t="shared" si="245"/>
        <v>#DIV/0!</v>
      </c>
      <c r="EI97" s="43">
        <f t="shared" si="202"/>
        <v>42.62</v>
      </c>
      <c r="EJ97" s="43">
        <f t="shared" si="202"/>
        <v>0</v>
      </c>
      <c r="EK97" s="43">
        <f t="shared" si="203"/>
        <v>38.74</v>
      </c>
      <c r="EL97" s="43">
        <f t="shared" si="203"/>
        <v>0</v>
      </c>
      <c r="EM97" s="43">
        <f t="shared" si="204"/>
        <v>-3.8799999999999955</v>
      </c>
      <c r="EN97" s="43">
        <f t="shared" si="204"/>
        <v>0</v>
      </c>
      <c r="EO97" s="43">
        <v>50</v>
      </c>
      <c r="EP97" s="43">
        <v>0</v>
      </c>
      <c r="EQ97" s="5"/>
      <c r="ER97" s="5"/>
      <c r="ES97" s="5"/>
      <c r="ET97" s="5"/>
      <c r="EU97" s="5">
        <f t="shared" ref="EU97:EV160" si="270">+EW97-EC97-EO97</f>
        <v>114.94</v>
      </c>
      <c r="EV97" s="5">
        <f t="shared" si="270"/>
        <v>0</v>
      </c>
      <c r="EW97" s="5">
        <v>633.75</v>
      </c>
      <c r="EY97" s="5">
        <v>657</v>
      </c>
    </row>
    <row r="98" spans="1:162" ht="18.75" x14ac:dyDescent="0.25">
      <c r="A98" s="68"/>
      <c r="B98" s="68" t="s">
        <v>258</v>
      </c>
      <c r="C98" s="91" t="s">
        <v>255</v>
      </c>
      <c r="D98" s="67" t="s">
        <v>256</v>
      </c>
      <c r="E98" s="69" t="s">
        <v>259</v>
      </c>
      <c r="F98" s="70">
        <v>3300.82</v>
      </c>
      <c r="G98" s="70">
        <v>2955.42</v>
      </c>
      <c r="H98" s="70">
        <v>3341.82</v>
      </c>
      <c r="I98" s="70">
        <v>2955.42</v>
      </c>
      <c r="J98" s="71">
        <f t="shared" ref="J98:AA98" si="271">+J96+J97</f>
        <v>3897.08</v>
      </c>
      <c r="K98" s="71">
        <f t="shared" si="271"/>
        <v>0</v>
      </c>
      <c r="L98" s="71">
        <f t="shared" si="271"/>
        <v>0</v>
      </c>
      <c r="M98" s="71">
        <f t="shared" si="271"/>
        <v>3897.08</v>
      </c>
      <c r="N98" s="71">
        <f t="shared" si="271"/>
        <v>0</v>
      </c>
      <c r="O98" s="71">
        <f t="shared" si="271"/>
        <v>0</v>
      </c>
      <c r="P98" s="71">
        <f t="shared" si="271"/>
        <v>0</v>
      </c>
      <c r="Q98" s="71">
        <f t="shared" si="271"/>
        <v>0</v>
      </c>
      <c r="R98" s="71">
        <f t="shared" si="271"/>
        <v>3897.08</v>
      </c>
      <c r="S98" s="71">
        <f t="shared" si="271"/>
        <v>3500</v>
      </c>
      <c r="T98" s="71">
        <f t="shared" si="271"/>
        <v>0</v>
      </c>
      <c r="U98" s="71">
        <f t="shared" si="271"/>
        <v>0</v>
      </c>
      <c r="V98" s="71">
        <f t="shared" si="271"/>
        <v>3536.6499999999996</v>
      </c>
      <c r="W98" s="71">
        <f t="shared" si="271"/>
        <v>3052.06</v>
      </c>
      <c r="X98" s="71">
        <f t="shared" si="271"/>
        <v>360.43000000000012</v>
      </c>
      <c r="Y98" s="71">
        <f t="shared" si="271"/>
        <v>447.94000000000005</v>
      </c>
      <c r="Z98" s="71">
        <f t="shared" si="271"/>
        <v>3536.6499999999996</v>
      </c>
      <c r="AA98" s="71">
        <f t="shared" si="271"/>
        <v>0</v>
      </c>
      <c r="AB98" s="70">
        <f t="shared" si="182"/>
        <v>3536.6499999999996</v>
      </c>
      <c r="AC98" s="43">
        <f t="shared" si="183"/>
        <v>0</v>
      </c>
      <c r="AD98" s="70">
        <f t="shared" ref="AD98:CO98" si="272">+AD96+AD97</f>
        <v>3536.6499999999996</v>
      </c>
      <c r="AE98" s="70">
        <f t="shared" si="272"/>
        <v>3052.06</v>
      </c>
      <c r="AF98" s="70">
        <f t="shared" si="272"/>
        <v>3157.7</v>
      </c>
      <c r="AG98" s="70">
        <f t="shared" si="272"/>
        <v>884</v>
      </c>
      <c r="AH98" s="70">
        <f t="shared" si="272"/>
        <v>763</v>
      </c>
      <c r="AI98" s="96">
        <f t="shared" si="272"/>
        <v>295</v>
      </c>
      <c r="AJ98" s="70">
        <f t="shared" si="272"/>
        <v>254</v>
      </c>
      <c r="AK98" s="70">
        <f t="shared" si="272"/>
        <v>0</v>
      </c>
      <c r="AL98" s="70">
        <f t="shared" si="272"/>
        <v>0</v>
      </c>
      <c r="AM98" s="70">
        <f t="shared" si="272"/>
        <v>884.16</v>
      </c>
      <c r="AN98" s="70">
        <f t="shared" si="272"/>
        <v>743.18</v>
      </c>
      <c r="AO98" s="70">
        <f t="shared" si="272"/>
        <v>0</v>
      </c>
      <c r="AP98" s="70">
        <f t="shared" si="272"/>
        <v>0</v>
      </c>
      <c r="AQ98" s="70">
        <f t="shared" si="272"/>
        <v>1768.1599999999999</v>
      </c>
      <c r="AR98" s="70">
        <f t="shared" si="272"/>
        <v>1506.1799999999998</v>
      </c>
      <c r="AS98" s="70">
        <f t="shared" si="272"/>
        <v>0</v>
      </c>
      <c r="AT98" s="70">
        <f t="shared" si="272"/>
        <v>0</v>
      </c>
      <c r="AU98" s="70">
        <f t="shared" si="272"/>
        <v>884.16</v>
      </c>
      <c r="AV98" s="70">
        <f t="shared" si="272"/>
        <v>763.02</v>
      </c>
      <c r="AW98" s="70">
        <f t="shared" si="272"/>
        <v>0</v>
      </c>
      <c r="AX98" s="70">
        <f t="shared" si="272"/>
        <v>438.97</v>
      </c>
      <c r="AY98" s="70">
        <f t="shared" si="272"/>
        <v>2947.3199999999997</v>
      </c>
      <c r="AZ98" s="70">
        <f t="shared" si="272"/>
        <v>2962.17</v>
      </c>
      <c r="BA98" s="70">
        <f t="shared" si="272"/>
        <v>5909.49</v>
      </c>
      <c r="BB98" s="70">
        <f t="shared" si="272"/>
        <v>2791.01</v>
      </c>
      <c r="BC98" s="70">
        <f t="shared" si="272"/>
        <v>2738.5</v>
      </c>
      <c r="BD98" s="70">
        <f t="shared" si="272"/>
        <v>156.30999999999995</v>
      </c>
      <c r="BE98" s="70">
        <f t="shared" si="272"/>
        <v>223.67000000000007</v>
      </c>
      <c r="BF98" s="70">
        <f t="shared" si="272"/>
        <v>558.20000000000005</v>
      </c>
      <c r="BG98" s="96">
        <f t="shared" si="272"/>
        <v>547.70000000000005</v>
      </c>
      <c r="BH98" s="96">
        <f t="shared" si="272"/>
        <v>200.95000000000002</v>
      </c>
      <c r="BI98" s="96">
        <f t="shared" si="272"/>
        <v>162.02000000000001</v>
      </c>
      <c r="BJ98" s="96">
        <f t="shared" si="272"/>
        <v>0</v>
      </c>
      <c r="BK98" s="96">
        <f t="shared" si="272"/>
        <v>0</v>
      </c>
      <c r="BL98" s="96">
        <f t="shared" si="272"/>
        <v>3148.27</v>
      </c>
      <c r="BM98" s="96">
        <f t="shared" si="272"/>
        <v>3124.19</v>
      </c>
      <c r="BN98" s="96">
        <f t="shared" si="272"/>
        <v>6272.46</v>
      </c>
      <c r="BO98" s="96">
        <f t="shared" si="272"/>
        <v>3074.0600000000004</v>
      </c>
      <c r="BP98" s="96">
        <f t="shared" si="272"/>
        <v>2778.95</v>
      </c>
      <c r="BQ98" s="70">
        <f t="shared" si="272"/>
        <v>74.209999999999638</v>
      </c>
      <c r="BR98" s="70">
        <f t="shared" si="272"/>
        <v>345.24000000000024</v>
      </c>
      <c r="BS98" s="70">
        <f t="shared" si="272"/>
        <v>279.46000000000004</v>
      </c>
      <c r="BT98" s="70">
        <f t="shared" si="272"/>
        <v>252.63</v>
      </c>
      <c r="BU98" s="70">
        <f t="shared" si="272"/>
        <v>205.25000000000037</v>
      </c>
      <c r="BV98" s="70">
        <f t="shared" si="272"/>
        <v>0</v>
      </c>
      <c r="BW98" s="70">
        <f t="shared" si="272"/>
        <v>94.19</v>
      </c>
      <c r="BX98" s="70">
        <f t="shared" si="272"/>
        <v>300</v>
      </c>
      <c r="BY98" s="70">
        <f t="shared" si="272"/>
        <v>0</v>
      </c>
      <c r="BZ98" s="70">
        <f t="shared" si="272"/>
        <v>0</v>
      </c>
      <c r="CA98" s="70">
        <f t="shared" si="272"/>
        <v>3447.71</v>
      </c>
      <c r="CB98" s="70">
        <f t="shared" si="272"/>
        <v>3424.19</v>
      </c>
      <c r="CC98" s="70">
        <f t="shared" si="272"/>
        <v>3792.48</v>
      </c>
      <c r="CD98" s="70">
        <f t="shared" si="272"/>
        <v>3937.82</v>
      </c>
      <c r="CE98" s="70">
        <f t="shared" si="272"/>
        <v>316</v>
      </c>
      <c r="CF98" s="70">
        <f t="shared" si="272"/>
        <v>328</v>
      </c>
      <c r="CG98" s="70">
        <f t="shared" si="272"/>
        <v>861.93</v>
      </c>
      <c r="CH98" s="96">
        <f t="shared" si="272"/>
        <v>856.05</v>
      </c>
      <c r="CI98" s="70">
        <f t="shared" si="272"/>
        <v>0</v>
      </c>
      <c r="CJ98" s="70">
        <f t="shared" si="272"/>
        <v>0</v>
      </c>
      <c r="CK98" s="70">
        <f t="shared" si="272"/>
        <v>832.75</v>
      </c>
      <c r="CL98" s="70">
        <f t="shared" si="272"/>
        <v>900</v>
      </c>
      <c r="CM98" s="70">
        <f t="shared" si="272"/>
        <v>0</v>
      </c>
      <c r="CN98" s="70">
        <f t="shared" si="272"/>
        <v>0</v>
      </c>
      <c r="CO98" s="70">
        <f t="shared" si="272"/>
        <v>4087.6</v>
      </c>
      <c r="CP98" s="70">
        <f t="shared" ref="CP98:FA98" si="273">+CP96+CP97</f>
        <v>3580</v>
      </c>
      <c r="CQ98" s="70">
        <f t="shared" si="273"/>
        <v>3331</v>
      </c>
      <c r="CR98" s="70">
        <f t="shared" si="273"/>
        <v>3600</v>
      </c>
      <c r="CS98" s="70">
        <f t="shared" si="273"/>
        <v>3331</v>
      </c>
      <c r="CT98" s="70">
        <f t="shared" si="273"/>
        <v>3580</v>
      </c>
      <c r="CU98" s="70">
        <f t="shared" si="273"/>
        <v>4033.75</v>
      </c>
      <c r="CV98" s="70">
        <f t="shared" si="273"/>
        <v>4015</v>
      </c>
      <c r="CW98" s="70">
        <f t="shared" si="273"/>
        <v>868.44</v>
      </c>
      <c r="CX98" s="70">
        <f t="shared" si="273"/>
        <v>895</v>
      </c>
      <c r="CY98" s="70">
        <f t="shared" si="273"/>
        <v>235</v>
      </c>
      <c r="CZ98" s="70">
        <f t="shared" si="273"/>
        <v>300</v>
      </c>
      <c r="DA98" s="70">
        <f t="shared" si="273"/>
        <v>2252.19</v>
      </c>
      <c r="DB98" s="70">
        <f t="shared" si="273"/>
        <v>2423</v>
      </c>
      <c r="DC98" s="70">
        <f t="shared" si="273"/>
        <v>1977.21</v>
      </c>
      <c r="DD98" s="70">
        <f t="shared" si="273"/>
        <v>2208.04</v>
      </c>
      <c r="DE98" s="70">
        <f t="shared" si="273"/>
        <v>274.97999999999996</v>
      </c>
      <c r="DF98" s="70">
        <f t="shared" si="273"/>
        <v>214.96000000000004</v>
      </c>
      <c r="DG98" s="70">
        <f t="shared" si="273"/>
        <v>1008.44</v>
      </c>
      <c r="DH98" s="70">
        <f t="shared" si="273"/>
        <v>1003.75</v>
      </c>
      <c r="DI98" s="70">
        <f t="shared" si="273"/>
        <v>733.46</v>
      </c>
      <c r="DJ98" s="70">
        <f t="shared" si="273"/>
        <v>788.79</v>
      </c>
      <c r="DK98" s="70">
        <f t="shared" si="273"/>
        <v>0</v>
      </c>
      <c r="DL98" s="70">
        <f t="shared" si="273"/>
        <v>0</v>
      </c>
      <c r="DM98" s="70">
        <f t="shared" si="273"/>
        <v>2985.65</v>
      </c>
      <c r="DN98" s="70">
        <f t="shared" si="273"/>
        <v>3211.79</v>
      </c>
      <c r="DO98" s="70">
        <f t="shared" si="273"/>
        <v>2865.9500000000003</v>
      </c>
      <c r="DP98" s="70">
        <f t="shared" si="273"/>
        <v>2932.98</v>
      </c>
      <c r="DQ98" s="70">
        <f t="shared" si="273"/>
        <v>119.7</v>
      </c>
      <c r="DR98" s="70">
        <f t="shared" si="273"/>
        <v>278.81</v>
      </c>
      <c r="DS98" s="70">
        <f t="shared" si="273"/>
        <v>286.59500000000003</v>
      </c>
      <c r="DT98" s="70">
        <f t="shared" si="273"/>
        <v>293.298</v>
      </c>
      <c r="DU98" s="70">
        <f t="shared" si="273"/>
        <v>166.89500000000004</v>
      </c>
      <c r="DV98" s="70">
        <f t="shared" si="273"/>
        <v>14.488</v>
      </c>
      <c r="DW98" s="70">
        <f t="shared" si="273"/>
        <v>0</v>
      </c>
      <c r="DX98" s="70">
        <f t="shared" si="273"/>
        <v>0</v>
      </c>
      <c r="DY98" s="70">
        <f t="shared" si="273"/>
        <v>166.9</v>
      </c>
      <c r="DZ98" s="70">
        <f t="shared" si="273"/>
        <v>560</v>
      </c>
      <c r="EA98" s="70">
        <f t="shared" si="273"/>
        <v>0</v>
      </c>
      <c r="EB98" s="96">
        <f t="shared" si="273"/>
        <v>0</v>
      </c>
      <c r="EC98" s="70">
        <f t="shared" si="273"/>
        <v>3152.55</v>
      </c>
      <c r="ED98" s="70">
        <f t="shared" si="273"/>
        <v>3771.79</v>
      </c>
      <c r="EE98" s="70">
        <f t="shared" si="273"/>
        <v>3103.62</v>
      </c>
      <c r="EF98" s="70">
        <f t="shared" si="273"/>
        <v>3516.45</v>
      </c>
      <c r="EG98" s="70">
        <f t="shared" si="273"/>
        <v>190.67000000000002</v>
      </c>
      <c r="EH98" s="70" t="e">
        <f t="shared" si="273"/>
        <v>#DIV/0!</v>
      </c>
      <c r="EI98" s="70">
        <f t="shared" si="273"/>
        <v>48.93</v>
      </c>
      <c r="EJ98" s="70">
        <f t="shared" si="273"/>
        <v>255.34</v>
      </c>
      <c r="EK98" s="70">
        <f t="shared" si="273"/>
        <v>282.14</v>
      </c>
      <c r="EL98" s="70">
        <f t="shared" si="273"/>
        <v>319.68</v>
      </c>
      <c r="EM98" s="70">
        <f t="shared" si="273"/>
        <v>233.21</v>
      </c>
      <c r="EN98" s="70">
        <f t="shared" si="273"/>
        <v>64.34</v>
      </c>
      <c r="EO98" s="70">
        <f t="shared" si="273"/>
        <v>300</v>
      </c>
      <c r="EP98" s="70">
        <f t="shared" si="273"/>
        <v>500</v>
      </c>
      <c r="EQ98" s="66">
        <f t="shared" si="273"/>
        <v>0</v>
      </c>
      <c r="ER98" s="46"/>
      <c r="ES98" s="46">
        <f t="shared" si="273"/>
        <v>0</v>
      </c>
      <c r="ET98" s="46">
        <f t="shared" si="273"/>
        <v>1173.21</v>
      </c>
      <c r="EU98" s="5">
        <f t="shared" si="270"/>
        <v>581.19999999999982</v>
      </c>
      <c r="EV98" s="5">
        <f t="shared" si="270"/>
        <v>113.21000000000004</v>
      </c>
      <c r="EW98" s="46">
        <f t="shared" si="273"/>
        <v>4033.75</v>
      </c>
      <c r="EX98" s="46">
        <f t="shared" si="273"/>
        <v>4385</v>
      </c>
      <c r="EY98" s="46">
        <f t="shared" si="273"/>
        <v>4657</v>
      </c>
      <c r="EZ98" s="46">
        <f t="shared" si="273"/>
        <v>5000</v>
      </c>
      <c r="FA98" s="46">
        <f t="shared" si="273"/>
        <v>0</v>
      </c>
      <c r="FB98" s="46">
        <f t="shared" ref="FB98:FD98" si="274">+FB96+FB97</f>
        <v>0</v>
      </c>
      <c r="FC98" s="46">
        <f t="shared" si="274"/>
        <v>0</v>
      </c>
      <c r="FD98" s="46">
        <f t="shared" si="274"/>
        <v>0</v>
      </c>
    </row>
    <row r="99" spans="1:162" ht="18.75" x14ac:dyDescent="0.25">
      <c r="A99" s="37">
        <v>8</v>
      </c>
      <c r="B99" s="37"/>
      <c r="C99" s="91" t="s">
        <v>260</v>
      </c>
      <c r="D99" s="38" t="s">
        <v>261</v>
      </c>
      <c r="E99" s="39"/>
      <c r="F99" s="40">
        <v>3769.9999999999995</v>
      </c>
      <c r="G99" s="40">
        <v>2800</v>
      </c>
      <c r="H99" s="40">
        <v>3769.9999999999995</v>
      </c>
      <c r="I99" s="40">
        <v>2800</v>
      </c>
      <c r="J99" s="41">
        <v>4400</v>
      </c>
      <c r="K99" s="41">
        <v>0</v>
      </c>
      <c r="L99" s="41">
        <v>0</v>
      </c>
      <c r="M99" s="41">
        <f t="shared" si="246"/>
        <v>4400</v>
      </c>
      <c r="N99" s="41">
        <v>0</v>
      </c>
      <c r="O99" s="41">
        <v>0</v>
      </c>
      <c r="P99" s="41">
        <v>0</v>
      </c>
      <c r="Q99" s="41">
        <f t="shared" ref="Q99:Q103" si="275">N99+O99+P99</f>
        <v>0</v>
      </c>
      <c r="R99" s="41">
        <f t="shared" si="269"/>
        <v>4400</v>
      </c>
      <c r="S99" s="41">
        <v>2950</v>
      </c>
      <c r="T99" s="92"/>
      <c r="U99" s="92"/>
      <c r="V99" s="40">
        <f t="shared" ref="V99:V100" si="276">ROUND(H99*1.0583,2)</f>
        <v>3989.79</v>
      </c>
      <c r="W99" s="40">
        <f t="shared" ref="W99:W100" si="277">ROUND(I99*1.0327,2)</f>
        <v>2891.56</v>
      </c>
      <c r="X99" s="43">
        <f t="shared" si="170"/>
        <v>410.21000000000004</v>
      </c>
      <c r="Y99" s="43">
        <f t="shared" si="170"/>
        <v>58.440000000000055</v>
      </c>
      <c r="Z99" s="43">
        <v>3989.79</v>
      </c>
      <c r="AA99" s="43"/>
      <c r="AB99" s="43">
        <f t="shared" si="182"/>
        <v>3989.79</v>
      </c>
      <c r="AC99" s="43">
        <f t="shared" si="183"/>
        <v>0</v>
      </c>
      <c r="AD99" s="43">
        <f t="shared" ref="AD99:AE100" si="278">IF(X99&gt;0,V99,R99)</f>
        <v>3989.79</v>
      </c>
      <c r="AE99" s="43">
        <f t="shared" si="278"/>
        <v>2891.56</v>
      </c>
      <c r="AF99" s="43">
        <f t="shared" si="184"/>
        <v>2661.49</v>
      </c>
      <c r="AG99" s="43">
        <f t="shared" si="171"/>
        <v>997</v>
      </c>
      <c r="AH99" s="43">
        <f t="shared" si="171"/>
        <v>723</v>
      </c>
      <c r="AI99" s="93">
        <f t="shared" si="172"/>
        <v>332</v>
      </c>
      <c r="AJ99" s="43">
        <f t="shared" si="172"/>
        <v>241</v>
      </c>
      <c r="AK99" s="43"/>
      <c r="AL99" s="43"/>
      <c r="AM99" s="43">
        <f t="shared" si="185"/>
        <v>997.45</v>
      </c>
      <c r="AN99" s="43">
        <f t="shared" si="186"/>
        <v>704.09</v>
      </c>
      <c r="AO99" s="43"/>
      <c r="AP99" s="43"/>
      <c r="AQ99" s="43">
        <f t="shared" si="173"/>
        <v>1994.45</v>
      </c>
      <c r="AR99" s="43">
        <f t="shared" si="173"/>
        <v>1427.0900000000001</v>
      </c>
      <c r="AS99" s="43"/>
      <c r="AT99" s="43"/>
      <c r="AU99" s="43">
        <f t="shared" si="260"/>
        <v>997.45</v>
      </c>
      <c r="AV99" s="43">
        <f t="shared" si="257"/>
        <v>722.89</v>
      </c>
      <c r="AW99" s="43"/>
      <c r="AX99" s="43"/>
      <c r="AY99" s="43">
        <f t="shared" si="166"/>
        <v>3323.9</v>
      </c>
      <c r="AZ99" s="43">
        <f t="shared" si="166"/>
        <v>2390.98</v>
      </c>
      <c r="BA99" s="43">
        <f t="shared" si="167"/>
        <v>5714.88</v>
      </c>
      <c r="BB99" s="60">
        <v>3226.95</v>
      </c>
      <c r="BC99" s="60">
        <v>2387.04</v>
      </c>
      <c r="BD99" s="60">
        <f t="shared" si="168"/>
        <v>96.950000000000273</v>
      </c>
      <c r="BE99" s="60">
        <f t="shared" si="168"/>
        <v>3.9400000000000546</v>
      </c>
      <c r="BF99" s="60">
        <f t="shared" si="169"/>
        <v>645.39</v>
      </c>
      <c r="BG99" s="60">
        <f t="shared" si="169"/>
        <v>477.41</v>
      </c>
      <c r="BH99" s="43">
        <v>274.22000000000003</v>
      </c>
      <c r="BI99" s="43">
        <v>190</v>
      </c>
      <c r="BJ99" s="43"/>
      <c r="BK99" s="43">
        <v>50</v>
      </c>
      <c r="BL99" s="43">
        <f t="shared" si="180"/>
        <v>3598.12</v>
      </c>
      <c r="BM99" s="43">
        <f t="shared" si="180"/>
        <v>2630.98</v>
      </c>
      <c r="BN99" s="43">
        <f t="shared" si="187"/>
        <v>6229.1</v>
      </c>
      <c r="BO99" s="43">
        <v>3570.56</v>
      </c>
      <c r="BP99" s="93">
        <v>2630.6</v>
      </c>
      <c r="BQ99" s="43">
        <f t="shared" si="188"/>
        <v>27.559999999999945</v>
      </c>
      <c r="BR99" s="43">
        <f t="shared" si="188"/>
        <v>0.38000000000010914</v>
      </c>
      <c r="BS99" s="43">
        <f t="shared" si="189"/>
        <v>324.60000000000002</v>
      </c>
      <c r="BT99" s="43">
        <f t="shared" si="189"/>
        <v>239.15</v>
      </c>
      <c r="BU99" s="43">
        <f t="shared" si="212"/>
        <v>297.04000000000008</v>
      </c>
      <c r="BV99" s="43">
        <f t="shared" si="268"/>
        <v>238.77</v>
      </c>
      <c r="BW99" s="43">
        <v>29.84</v>
      </c>
      <c r="BX99" s="43">
        <f>45+1.25</f>
        <v>46.25</v>
      </c>
      <c r="BY99" s="43"/>
      <c r="BZ99" s="43"/>
      <c r="CA99" s="43">
        <v>3925</v>
      </c>
      <c r="CB99" s="43">
        <v>2916</v>
      </c>
      <c r="CC99" s="92">
        <v>4317.5</v>
      </c>
      <c r="CD99" s="92">
        <v>3353.4</v>
      </c>
      <c r="CE99" s="92">
        <v>360</v>
      </c>
      <c r="CF99" s="92">
        <v>279</v>
      </c>
      <c r="CG99" s="92">
        <f t="shared" si="190"/>
        <v>981.25</v>
      </c>
      <c r="CH99" s="92">
        <f t="shared" si="190"/>
        <v>729</v>
      </c>
      <c r="CI99" s="43"/>
      <c r="CJ99" s="43"/>
      <c r="CK99" s="43">
        <v>1080</v>
      </c>
      <c r="CL99" s="72">
        <f>837-37-50</f>
        <v>750</v>
      </c>
      <c r="CM99" s="72"/>
      <c r="CN99" s="72"/>
      <c r="CO99" s="43">
        <v>4350</v>
      </c>
      <c r="CP99" s="43">
        <v>3200</v>
      </c>
      <c r="CQ99" s="43">
        <f t="shared" si="191"/>
        <v>4320</v>
      </c>
      <c r="CR99" s="43">
        <f t="shared" si="191"/>
        <v>3000</v>
      </c>
      <c r="CS99" s="43">
        <f t="shared" si="192"/>
        <v>4320</v>
      </c>
      <c r="CT99" s="43">
        <f t="shared" si="192"/>
        <v>3000</v>
      </c>
      <c r="CU99" s="43">
        <f t="shared" si="192"/>
        <v>4320</v>
      </c>
      <c r="CV99" s="43">
        <f t="shared" si="192"/>
        <v>3000</v>
      </c>
      <c r="CW99" s="43">
        <f t="shared" si="193"/>
        <v>1080</v>
      </c>
      <c r="CX99" s="43">
        <f t="shared" si="193"/>
        <v>750</v>
      </c>
      <c r="CY99" s="43"/>
      <c r="CZ99" s="43">
        <v>110</v>
      </c>
      <c r="DA99" s="43">
        <f t="shared" si="194"/>
        <v>2520</v>
      </c>
      <c r="DB99" s="43">
        <f t="shared" si="194"/>
        <v>1889</v>
      </c>
      <c r="DC99" s="43">
        <v>2444.71</v>
      </c>
      <c r="DD99" s="43">
        <v>1885.5</v>
      </c>
      <c r="DE99" s="43">
        <f t="shared" si="195"/>
        <v>75.289999999999964</v>
      </c>
      <c r="DF99" s="43">
        <f t="shared" si="195"/>
        <v>3.5</v>
      </c>
      <c r="DG99" s="43">
        <f>ROUND(0.25*(MIN(CU99,EW99)),2)</f>
        <v>1050</v>
      </c>
      <c r="DH99" s="43">
        <f>ROUND(0.25*(MIN(CV99,EX99)),2)</f>
        <v>750</v>
      </c>
      <c r="DI99" s="43">
        <f t="shared" si="196"/>
        <v>974.71</v>
      </c>
      <c r="DJ99" s="43">
        <f>+DH99-DF99</f>
        <v>746.5</v>
      </c>
      <c r="DK99" s="43">
        <v>40</v>
      </c>
      <c r="DL99" s="43">
        <v>48</v>
      </c>
      <c r="DM99" s="43">
        <f t="shared" si="197"/>
        <v>3534.71</v>
      </c>
      <c r="DN99" s="43">
        <f t="shared" si="197"/>
        <v>2683.5</v>
      </c>
      <c r="DO99" s="94">
        <v>3527.15</v>
      </c>
      <c r="DP99" s="95">
        <v>2683.4</v>
      </c>
      <c r="DQ99" s="60">
        <f t="shared" si="198"/>
        <v>7.56</v>
      </c>
      <c r="DR99" s="60">
        <f t="shared" si="198"/>
        <v>0.1</v>
      </c>
      <c r="DS99" s="60">
        <f t="shared" si="199"/>
        <v>352.71500000000003</v>
      </c>
      <c r="DT99" s="60">
        <f t="shared" si="199"/>
        <v>268.34000000000003</v>
      </c>
      <c r="DU99" s="60">
        <f t="shared" si="200"/>
        <v>345.15500000000003</v>
      </c>
      <c r="DV99" s="60">
        <f t="shared" si="200"/>
        <v>268.24</v>
      </c>
      <c r="DW99" s="60"/>
      <c r="DX99" s="60">
        <v>12</v>
      </c>
      <c r="DY99" s="60">
        <f t="shared" si="214"/>
        <v>345.16</v>
      </c>
      <c r="DZ99" s="60">
        <f t="shared" si="181"/>
        <v>280.24</v>
      </c>
      <c r="EA99" s="60"/>
      <c r="EB99" s="60"/>
      <c r="EC99" s="43">
        <f t="shared" si="201"/>
        <v>3879.87</v>
      </c>
      <c r="ED99" s="43">
        <f t="shared" si="201"/>
        <v>2963.74</v>
      </c>
      <c r="EE99" s="43">
        <v>3863.8</v>
      </c>
      <c r="EF99" s="43">
        <v>2961</v>
      </c>
      <c r="EG99" s="43">
        <f t="shared" si="245"/>
        <v>99.59</v>
      </c>
      <c r="EH99" s="43">
        <f t="shared" si="245"/>
        <v>99.91</v>
      </c>
      <c r="EI99" s="43">
        <f t="shared" si="202"/>
        <v>16.07</v>
      </c>
      <c r="EJ99" s="43">
        <f t="shared" si="202"/>
        <v>2.74</v>
      </c>
      <c r="EK99" s="43">
        <f t="shared" si="203"/>
        <v>351.25</v>
      </c>
      <c r="EL99" s="43">
        <f t="shared" si="203"/>
        <v>269.18</v>
      </c>
      <c r="EM99" s="43">
        <f t="shared" si="204"/>
        <v>335.18</v>
      </c>
      <c r="EN99" s="43">
        <f t="shared" si="204"/>
        <v>266.44</v>
      </c>
      <c r="EO99" s="43"/>
      <c r="EP99" s="43">
        <v>300</v>
      </c>
      <c r="EQ99" s="5"/>
      <c r="ER99" s="5"/>
      <c r="ES99" s="5"/>
      <c r="ET99" s="5"/>
      <c r="EU99" s="5">
        <f t="shared" si="270"/>
        <v>320.13000000000011</v>
      </c>
      <c r="EV99" s="5">
        <f t="shared" si="270"/>
        <v>-13.739999999999782</v>
      </c>
      <c r="EW99" s="5">
        <v>4200</v>
      </c>
      <c r="EX99" s="5">
        <v>3250</v>
      </c>
      <c r="EY99" s="5">
        <v>4500</v>
      </c>
      <c r="EZ99" s="5">
        <v>3500</v>
      </c>
    </row>
    <row r="100" spans="1:162" ht="18.75" x14ac:dyDescent="0.25">
      <c r="A100" s="37">
        <v>9</v>
      </c>
      <c r="B100" s="37"/>
      <c r="C100" s="91" t="s">
        <v>260</v>
      </c>
      <c r="D100" s="38" t="s">
        <v>262</v>
      </c>
      <c r="E100" s="39"/>
      <c r="F100" s="40">
        <v>456.72999999999996</v>
      </c>
      <c r="G100" s="40">
        <v>0</v>
      </c>
      <c r="H100" s="40">
        <v>456.72999999999996</v>
      </c>
      <c r="I100" s="40">
        <v>0</v>
      </c>
      <c r="J100" s="41">
        <v>670</v>
      </c>
      <c r="K100" s="41">
        <v>0</v>
      </c>
      <c r="L100" s="41">
        <v>0</v>
      </c>
      <c r="M100" s="41">
        <f t="shared" si="246"/>
        <v>670</v>
      </c>
      <c r="N100" s="41">
        <v>80</v>
      </c>
      <c r="O100" s="41">
        <v>0</v>
      </c>
      <c r="P100" s="41">
        <v>0</v>
      </c>
      <c r="Q100" s="41">
        <f t="shared" si="275"/>
        <v>80</v>
      </c>
      <c r="R100" s="41">
        <f t="shared" si="269"/>
        <v>750</v>
      </c>
      <c r="S100" s="41">
        <v>0</v>
      </c>
      <c r="T100" s="92"/>
      <c r="U100" s="92"/>
      <c r="V100" s="40">
        <f t="shared" si="276"/>
        <v>483.36</v>
      </c>
      <c r="W100" s="40">
        <f t="shared" si="277"/>
        <v>0</v>
      </c>
      <c r="X100" s="43">
        <f t="shared" si="170"/>
        <v>266.64</v>
      </c>
      <c r="Y100" s="43">
        <f t="shared" si="170"/>
        <v>0</v>
      </c>
      <c r="Z100" s="43">
        <v>433.36</v>
      </c>
      <c r="AA100" s="43">
        <v>50</v>
      </c>
      <c r="AB100" s="43">
        <f t="shared" si="182"/>
        <v>483.36</v>
      </c>
      <c r="AC100" s="43">
        <f t="shared" si="183"/>
        <v>0</v>
      </c>
      <c r="AD100" s="43">
        <f t="shared" si="278"/>
        <v>483.36</v>
      </c>
      <c r="AE100" s="43">
        <f t="shared" si="278"/>
        <v>0</v>
      </c>
      <c r="AF100" s="43">
        <f t="shared" si="184"/>
        <v>0</v>
      </c>
      <c r="AG100" s="43">
        <f t="shared" si="171"/>
        <v>121</v>
      </c>
      <c r="AH100" s="43">
        <f t="shared" si="171"/>
        <v>0</v>
      </c>
      <c r="AI100" s="93">
        <f t="shared" si="172"/>
        <v>40</v>
      </c>
      <c r="AJ100" s="43">
        <f t="shared" si="172"/>
        <v>0</v>
      </c>
      <c r="AK100" s="43"/>
      <c r="AL100" s="43"/>
      <c r="AM100" s="43">
        <f t="shared" si="185"/>
        <v>120.84</v>
      </c>
      <c r="AN100" s="43">
        <f t="shared" si="186"/>
        <v>0</v>
      </c>
      <c r="AO100" s="43"/>
      <c r="AP100" s="43"/>
      <c r="AQ100" s="43">
        <f t="shared" si="173"/>
        <v>241.84</v>
      </c>
      <c r="AR100" s="43">
        <f t="shared" si="173"/>
        <v>0</v>
      </c>
      <c r="AS100" s="43"/>
      <c r="AT100" s="43"/>
      <c r="AU100" s="43">
        <f t="shared" si="260"/>
        <v>120.84</v>
      </c>
      <c r="AV100" s="43">
        <f t="shared" si="257"/>
        <v>0</v>
      </c>
      <c r="AW100" s="43"/>
      <c r="AX100" s="43"/>
      <c r="AY100" s="43">
        <f t="shared" si="166"/>
        <v>402.68</v>
      </c>
      <c r="AZ100" s="43">
        <f t="shared" si="166"/>
        <v>0</v>
      </c>
      <c r="BA100" s="43">
        <f t="shared" si="167"/>
        <v>402.68</v>
      </c>
      <c r="BB100" s="60">
        <v>401.84</v>
      </c>
      <c r="BC100" s="60"/>
      <c r="BD100" s="60">
        <f t="shared" si="168"/>
        <v>0.84000000000003183</v>
      </c>
      <c r="BE100" s="60">
        <f t="shared" si="168"/>
        <v>0</v>
      </c>
      <c r="BF100" s="60">
        <f t="shared" si="169"/>
        <v>80.37</v>
      </c>
      <c r="BG100" s="60">
        <f t="shared" si="169"/>
        <v>0</v>
      </c>
      <c r="BH100" s="43">
        <v>39.770000000000003</v>
      </c>
      <c r="BI100" s="43">
        <v>0</v>
      </c>
      <c r="BJ100" s="43"/>
      <c r="BK100" s="43"/>
      <c r="BL100" s="43">
        <f t="shared" si="180"/>
        <v>442.45</v>
      </c>
      <c r="BM100" s="43">
        <f t="shared" si="180"/>
        <v>0</v>
      </c>
      <c r="BN100" s="43">
        <f t="shared" si="187"/>
        <v>442.45</v>
      </c>
      <c r="BO100" s="43">
        <v>401.84</v>
      </c>
      <c r="BP100" s="93"/>
      <c r="BQ100" s="43">
        <f t="shared" si="188"/>
        <v>40.610000000000014</v>
      </c>
      <c r="BR100" s="43">
        <f t="shared" si="188"/>
        <v>0</v>
      </c>
      <c r="BS100" s="43">
        <f t="shared" si="189"/>
        <v>36.53</v>
      </c>
      <c r="BT100" s="43">
        <f t="shared" si="189"/>
        <v>0</v>
      </c>
      <c r="BU100" s="43">
        <v>0</v>
      </c>
      <c r="BV100" s="43">
        <f t="shared" si="268"/>
        <v>0</v>
      </c>
      <c r="BW100" s="43">
        <v>240.09</v>
      </c>
      <c r="BX100" s="43"/>
      <c r="BY100" s="43"/>
      <c r="BZ100" s="43"/>
      <c r="CA100" s="43">
        <v>682.54</v>
      </c>
      <c r="CB100" s="43">
        <v>0</v>
      </c>
      <c r="CC100" s="92">
        <v>750.79</v>
      </c>
      <c r="CD100" s="92">
        <v>0</v>
      </c>
      <c r="CE100" s="92">
        <v>63</v>
      </c>
      <c r="CF100" s="92">
        <v>0</v>
      </c>
      <c r="CG100" s="92">
        <f t="shared" si="190"/>
        <v>170.64</v>
      </c>
      <c r="CH100" s="92">
        <f t="shared" si="190"/>
        <v>0</v>
      </c>
      <c r="CI100" s="43"/>
      <c r="CJ100" s="43"/>
      <c r="CK100" s="43">
        <v>189</v>
      </c>
      <c r="CL100" s="43"/>
      <c r="CM100" s="43"/>
      <c r="CN100" s="43"/>
      <c r="CO100" s="43">
        <v>654.75</v>
      </c>
      <c r="CP100" s="43"/>
      <c r="CQ100" s="43">
        <f t="shared" si="191"/>
        <v>756</v>
      </c>
      <c r="CR100" s="43">
        <f t="shared" si="191"/>
        <v>0</v>
      </c>
      <c r="CS100" s="43">
        <f t="shared" si="192"/>
        <v>654.75</v>
      </c>
      <c r="CT100" s="43">
        <f t="shared" si="192"/>
        <v>0</v>
      </c>
      <c r="CU100" s="43">
        <f t="shared" si="192"/>
        <v>654.75</v>
      </c>
      <c r="CV100" s="43">
        <f t="shared" si="192"/>
        <v>0</v>
      </c>
      <c r="CW100" s="43">
        <f t="shared" si="193"/>
        <v>163.69</v>
      </c>
      <c r="CX100" s="43">
        <f t="shared" si="193"/>
        <v>0</v>
      </c>
      <c r="CY100" s="43"/>
      <c r="CZ100" s="43"/>
      <c r="DA100" s="43">
        <f t="shared" si="194"/>
        <v>415.69</v>
      </c>
      <c r="DB100" s="43">
        <f t="shared" si="194"/>
        <v>0</v>
      </c>
      <c r="DC100" s="43">
        <v>415.69</v>
      </c>
      <c r="DD100" s="43">
        <v>0</v>
      </c>
      <c r="DE100" s="43">
        <f t="shared" si="195"/>
        <v>0</v>
      </c>
      <c r="DF100" s="43">
        <f t="shared" si="195"/>
        <v>0</v>
      </c>
      <c r="DG100" s="43">
        <f>ROUND(0.25*(MIN(CU100,EW100)),2)</f>
        <v>163.69</v>
      </c>
      <c r="DH100" s="43">
        <f>ROUND(0.25*(MIN(CV100,EX100)),2)</f>
        <v>0</v>
      </c>
      <c r="DI100" s="43">
        <f t="shared" si="196"/>
        <v>163.69</v>
      </c>
      <c r="DJ100" s="43">
        <f>+DH100-DF100</f>
        <v>0</v>
      </c>
      <c r="DK100" s="43"/>
      <c r="DL100" s="43"/>
      <c r="DM100" s="43">
        <f t="shared" si="197"/>
        <v>579.38</v>
      </c>
      <c r="DN100" s="43">
        <f t="shared" si="197"/>
        <v>0</v>
      </c>
      <c r="DO100" s="94">
        <v>579.38</v>
      </c>
      <c r="DP100" s="95">
        <v>0</v>
      </c>
      <c r="DQ100" s="60">
        <f t="shared" si="198"/>
        <v>0</v>
      </c>
      <c r="DR100" s="60">
        <f t="shared" si="198"/>
        <v>0</v>
      </c>
      <c r="DS100" s="60">
        <f t="shared" si="199"/>
        <v>57.938000000000002</v>
      </c>
      <c r="DT100" s="60">
        <f t="shared" si="199"/>
        <v>0</v>
      </c>
      <c r="DU100" s="60">
        <f t="shared" si="200"/>
        <v>57.938000000000002</v>
      </c>
      <c r="DV100" s="60">
        <f t="shared" si="200"/>
        <v>0</v>
      </c>
      <c r="DW100" s="60"/>
      <c r="DX100" s="60"/>
      <c r="DY100" s="60">
        <f t="shared" si="214"/>
        <v>57.94</v>
      </c>
      <c r="DZ100" s="60">
        <f t="shared" si="181"/>
        <v>0</v>
      </c>
      <c r="EA100" s="60"/>
      <c r="EB100" s="60"/>
      <c r="EC100" s="43">
        <f t="shared" si="201"/>
        <v>637.31999999999994</v>
      </c>
      <c r="ED100" s="43">
        <f t="shared" si="201"/>
        <v>0</v>
      </c>
      <c r="EE100" s="43">
        <v>579.38</v>
      </c>
      <c r="EF100" s="43">
        <v>0</v>
      </c>
      <c r="EG100" s="43">
        <f t="shared" si="245"/>
        <v>90.91</v>
      </c>
      <c r="EH100" s="43" t="e">
        <f t="shared" si="245"/>
        <v>#DIV/0!</v>
      </c>
      <c r="EI100" s="43">
        <f t="shared" si="202"/>
        <v>57.94</v>
      </c>
      <c r="EJ100" s="43">
        <f t="shared" si="202"/>
        <v>0</v>
      </c>
      <c r="EK100" s="43">
        <f t="shared" si="203"/>
        <v>52.67</v>
      </c>
      <c r="EL100" s="43">
        <f t="shared" si="203"/>
        <v>0</v>
      </c>
      <c r="EM100" s="43">
        <f t="shared" si="204"/>
        <v>-5.269999999999996</v>
      </c>
      <c r="EN100" s="43">
        <f t="shared" si="204"/>
        <v>0</v>
      </c>
      <c r="EO100" s="43"/>
      <c r="EP100" s="43">
        <v>0</v>
      </c>
      <c r="EQ100" s="5"/>
      <c r="ER100" s="5"/>
      <c r="ES100" s="5"/>
      <c r="ET100" s="5"/>
      <c r="EU100" s="5">
        <f t="shared" si="270"/>
        <v>76.680000000000064</v>
      </c>
      <c r="EV100" s="5">
        <f t="shared" si="270"/>
        <v>0</v>
      </c>
      <c r="EW100" s="5">
        <f>631+83</f>
        <v>714</v>
      </c>
      <c r="EY100" s="58">
        <f>636.8+88</f>
        <v>724.8</v>
      </c>
    </row>
    <row r="101" spans="1:162" ht="18.75" x14ac:dyDescent="0.25">
      <c r="A101" s="68"/>
      <c r="B101" s="68" t="s">
        <v>263</v>
      </c>
      <c r="C101" s="91" t="s">
        <v>260</v>
      </c>
      <c r="D101" s="67" t="s">
        <v>261</v>
      </c>
      <c r="E101" s="69" t="s">
        <v>264</v>
      </c>
      <c r="F101" s="70">
        <v>4226.7299999999996</v>
      </c>
      <c r="G101" s="70">
        <v>2800</v>
      </c>
      <c r="H101" s="70">
        <v>4226.7299999999996</v>
      </c>
      <c r="I101" s="70">
        <v>2800</v>
      </c>
      <c r="J101" s="71">
        <f t="shared" ref="J101:AA101" si="279">+J99+J100</f>
        <v>5070</v>
      </c>
      <c r="K101" s="71">
        <f t="shared" si="279"/>
        <v>0</v>
      </c>
      <c r="L101" s="71">
        <f t="shared" si="279"/>
        <v>0</v>
      </c>
      <c r="M101" s="71">
        <f t="shared" si="279"/>
        <v>5070</v>
      </c>
      <c r="N101" s="71">
        <f t="shared" si="279"/>
        <v>80</v>
      </c>
      <c r="O101" s="71">
        <f t="shared" si="279"/>
        <v>0</v>
      </c>
      <c r="P101" s="71">
        <f t="shared" si="279"/>
        <v>0</v>
      </c>
      <c r="Q101" s="71">
        <f t="shared" si="279"/>
        <v>80</v>
      </c>
      <c r="R101" s="71">
        <f t="shared" si="279"/>
        <v>5150</v>
      </c>
      <c r="S101" s="71">
        <f t="shared" si="279"/>
        <v>2950</v>
      </c>
      <c r="T101" s="71">
        <f t="shared" si="279"/>
        <v>0</v>
      </c>
      <c r="U101" s="71">
        <f t="shared" si="279"/>
        <v>0</v>
      </c>
      <c r="V101" s="71">
        <f t="shared" si="279"/>
        <v>4473.1499999999996</v>
      </c>
      <c r="W101" s="71">
        <f t="shared" si="279"/>
        <v>2891.56</v>
      </c>
      <c r="X101" s="71">
        <f t="shared" si="279"/>
        <v>676.85</v>
      </c>
      <c r="Y101" s="71">
        <f t="shared" si="279"/>
        <v>58.440000000000055</v>
      </c>
      <c r="Z101" s="71">
        <f t="shared" si="279"/>
        <v>4423.1499999999996</v>
      </c>
      <c r="AA101" s="71">
        <f t="shared" si="279"/>
        <v>50</v>
      </c>
      <c r="AB101" s="70">
        <f t="shared" si="182"/>
        <v>4473.1499999999996</v>
      </c>
      <c r="AC101" s="43">
        <f t="shared" si="183"/>
        <v>0</v>
      </c>
      <c r="AD101" s="70">
        <f t="shared" ref="AD101:CP101" si="280">+AD99+AD100</f>
        <v>4473.1499999999996</v>
      </c>
      <c r="AE101" s="70">
        <f t="shared" si="280"/>
        <v>2891.56</v>
      </c>
      <c r="AF101" s="70">
        <f t="shared" si="280"/>
        <v>2661.49</v>
      </c>
      <c r="AG101" s="70">
        <f t="shared" si="280"/>
        <v>1118</v>
      </c>
      <c r="AH101" s="70">
        <f t="shared" si="280"/>
        <v>723</v>
      </c>
      <c r="AI101" s="96">
        <f t="shared" si="280"/>
        <v>372</v>
      </c>
      <c r="AJ101" s="70">
        <f t="shared" si="280"/>
        <v>241</v>
      </c>
      <c r="AK101" s="70">
        <f t="shared" si="280"/>
        <v>0</v>
      </c>
      <c r="AL101" s="70">
        <f t="shared" si="280"/>
        <v>0</v>
      </c>
      <c r="AM101" s="70">
        <f t="shared" si="280"/>
        <v>1118.29</v>
      </c>
      <c r="AN101" s="70">
        <f t="shared" si="280"/>
        <v>704.09</v>
      </c>
      <c r="AO101" s="70">
        <f t="shared" si="280"/>
        <v>0</v>
      </c>
      <c r="AP101" s="70">
        <f t="shared" si="280"/>
        <v>0</v>
      </c>
      <c r="AQ101" s="70">
        <f t="shared" si="280"/>
        <v>2236.29</v>
      </c>
      <c r="AR101" s="70">
        <f t="shared" si="280"/>
        <v>1427.0900000000001</v>
      </c>
      <c r="AS101" s="70">
        <f t="shared" si="280"/>
        <v>0</v>
      </c>
      <c r="AT101" s="70">
        <f t="shared" si="280"/>
        <v>0</v>
      </c>
      <c r="AU101" s="70">
        <f t="shared" si="280"/>
        <v>1118.29</v>
      </c>
      <c r="AV101" s="70">
        <f t="shared" si="280"/>
        <v>722.89</v>
      </c>
      <c r="AW101" s="70">
        <f t="shared" si="280"/>
        <v>0</v>
      </c>
      <c r="AX101" s="70">
        <f t="shared" si="280"/>
        <v>0</v>
      </c>
      <c r="AY101" s="70">
        <f t="shared" si="280"/>
        <v>3726.58</v>
      </c>
      <c r="AZ101" s="70">
        <f t="shared" si="280"/>
        <v>2390.98</v>
      </c>
      <c r="BA101" s="70">
        <f t="shared" si="280"/>
        <v>6117.56</v>
      </c>
      <c r="BB101" s="70">
        <f t="shared" si="280"/>
        <v>3628.79</v>
      </c>
      <c r="BC101" s="70">
        <f t="shared" si="280"/>
        <v>2387.04</v>
      </c>
      <c r="BD101" s="70">
        <f t="shared" si="280"/>
        <v>97.790000000000305</v>
      </c>
      <c r="BE101" s="70">
        <f t="shared" si="280"/>
        <v>3.9400000000000546</v>
      </c>
      <c r="BF101" s="70">
        <f t="shared" si="280"/>
        <v>725.76</v>
      </c>
      <c r="BG101" s="96">
        <f t="shared" si="280"/>
        <v>477.41</v>
      </c>
      <c r="BH101" s="96">
        <f t="shared" si="280"/>
        <v>313.99</v>
      </c>
      <c r="BI101" s="96">
        <f t="shared" si="280"/>
        <v>190</v>
      </c>
      <c r="BJ101" s="96">
        <f t="shared" si="280"/>
        <v>0</v>
      </c>
      <c r="BK101" s="96">
        <f t="shared" si="280"/>
        <v>50</v>
      </c>
      <c r="BL101" s="96">
        <f t="shared" si="280"/>
        <v>4040.5699999999997</v>
      </c>
      <c r="BM101" s="96">
        <f t="shared" si="280"/>
        <v>2630.98</v>
      </c>
      <c r="BN101" s="96">
        <f t="shared" si="280"/>
        <v>6671.55</v>
      </c>
      <c r="BO101" s="96">
        <f t="shared" si="280"/>
        <v>3972.4</v>
      </c>
      <c r="BP101" s="96">
        <f t="shared" si="280"/>
        <v>2630.6</v>
      </c>
      <c r="BQ101" s="70">
        <f t="shared" si="280"/>
        <v>68.169999999999959</v>
      </c>
      <c r="BR101" s="70">
        <f t="shared" si="280"/>
        <v>0.38000000000010914</v>
      </c>
      <c r="BS101" s="70">
        <f t="shared" si="280"/>
        <v>361.13</v>
      </c>
      <c r="BT101" s="70">
        <f t="shared" si="280"/>
        <v>239.15</v>
      </c>
      <c r="BU101" s="70">
        <f t="shared" si="280"/>
        <v>297.04000000000008</v>
      </c>
      <c r="BV101" s="70">
        <f t="shared" si="280"/>
        <v>238.77</v>
      </c>
      <c r="BW101" s="70">
        <f t="shared" si="280"/>
        <v>269.93</v>
      </c>
      <c r="BX101" s="70">
        <f t="shared" si="280"/>
        <v>46.25</v>
      </c>
      <c r="BY101" s="70">
        <f t="shared" si="280"/>
        <v>0</v>
      </c>
      <c r="BZ101" s="70">
        <f t="shared" si="280"/>
        <v>0</v>
      </c>
      <c r="CA101" s="70">
        <f t="shared" si="280"/>
        <v>4607.54</v>
      </c>
      <c r="CB101" s="70">
        <f t="shared" si="280"/>
        <v>2916</v>
      </c>
      <c r="CC101" s="70">
        <f t="shared" si="280"/>
        <v>5068.29</v>
      </c>
      <c r="CD101" s="70">
        <f t="shared" si="280"/>
        <v>3353.4</v>
      </c>
      <c r="CE101" s="70">
        <f t="shared" si="280"/>
        <v>423</v>
      </c>
      <c r="CF101" s="70">
        <f t="shared" si="280"/>
        <v>279</v>
      </c>
      <c r="CG101" s="70">
        <f t="shared" si="280"/>
        <v>1151.8899999999999</v>
      </c>
      <c r="CH101" s="96">
        <f t="shared" si="280"/>
        <v>729</v>
      </c>
      <c r="CI101" s="70">
        <f t="shared" si="280"/>
        <v>0</v>
      </c>
      <c r="CJ101" s="70">
        <f t="shared" si="280"/>
        <v>0</v>
      </c>
      <c r="CK101" s="70">
        <f t="shared" si="280"/>
        <v>1269</v>
      </c>
      <c r="CL101" s="70">
        <f t="shared" si="280"/>
        <v>750</v>
      </c>
      <c r="CM101" s="70">
        <f t="shared" si="280"/>
        <v>0</v>
      </c>
      <c r="CN101" s="70">
        <f t="shared" si="280"/>
        <v>0</v>
      </c>
      <c r="CO101" s="70">
        <f t="shared" si="280"/>
        <v>5004.75</v>
      </c>
      <c r="CP101" s="70">
        <f t="shared" si="280"/>
        <v>3200</v>
      </c>
      <c r="CQ101" s="70">
        <f t="shared" ref="CQ101:FB101" si="281">+CQ99+CQ100</f>
        <v>5076</v>
      </c>
      <c r="CR101" s="70">
        <f t="shared" si="281"/>
        <v>3000</v>
      </c>
      <c r="CS101" s="70">
        <f t="shared" si="281"/>
        <v>4974.75</v>
      </c>
      <c r="CT101" s="70">
        <f t="shared" si="281"/>
        <v>3000</v>
      </c>
      <c r="CU101" s="70">
        <f t="shared" si="281"/>
        <v>4974.75</v>
      </c>
      <c r="CV101" s="70">
        <f t="shared" si="281"/>
        <v>3000</v>
      </c>
      <c r="CW101" s="70">
        <f t="shared" si="281"/>
        <v>1243.69</v>
      </c>
      <c r="CX101" s="70">
        <f t="shared" si="281"/>
        <v>750</v>
      </c>
      <c r="CY101" s="70">
        <f t="shared" si="281"/>
        <v>0</v>
      </c>
      <c r="CZ101" s="70">
        <f t="shared" si="281"/>
        <v>110</v>
      </c>
      <c r="DA101" s="70">
        <f t="shared" si="281"/>
        <v>2935.69</v>
      </c>
      <c r="DB101" s="70">
        <f t="shared" si="281"/>
        <v>1889</v>
      </c>
      <c r="DC101" s="70">
        <f t="shared" si="281"/>
        <v>2860.4</v>
      </c>
      <c r="DD101" s="70">
        <f t="shared" si="281"/>
        <v>1885.5</v>
      </c>
      <c r="DE101" s="70">
        <f t="shared" si="281"/>
        <v>75.289999999999964</v>
      </c>
      <c r="DF101" s="70">
        <f t="shared" si="281"/>
        <v>3.5</v>
      </c>
      <c r="DG101" s="70">
        <f t="shared" si="281"/>
        <v>1213.69</v>
      </c>
      <c r="DH101" s="70">
        <f t="shared" si="281"/>
        <v>750</v>
      </c>
      <c r="DI101" s="70">
        <f t="shared" si="281"/>
        <v>1138.4000000000001</v>
      </c>
      <c r="DJ101" s="70">
        <f t="shared" si="281"/>
        <v>746.5</v>
      </c>
      <c r="DK101" s="70">
        <f t="shared" si="281"/>
        <v>40</v>
      </c>
      <c r="DL101" s="70">
        <f t="shared" si="281"/>
        <v>48</v>
      </c>
      <c r="DM101" s="70">
        <f t="shared" si="281"/>
        <v>4114.09</v>
      </c>
      <c r="DN101" s="70">
        <f t="shared" si="281"/>
        <v>2683.5</v>
      </c>
      <c r="DO101" s="70">
        <f t="shared" si="281"/>
        <v>4106.53</v>
      </c>
      <c r="DP101" s="70">
        <f t="shared" si="281"/>
        <v>2683.4</v>
      </c>
      <c r="DQ101" s="70">
        <f t="shared" si="281"/>
        <v>7.56</v>
      </c>
      <c r="DR101" s="70">
        <f t="shared" si="281"/>
        <v>0.1</v>
      </c>
      <c r="DS101" s="70">
        <f t="shared" si="281"/>
        <v>410.65300000000002</v>
      </c>
      <c r="DT101" s="70">
        <f t="shared" si="281"/>
        <v>268.34000000000003</v>
      </c>
      <c r="DU101" s="70">
        <f t="shared" si="281"/>
        <v>403.09300000000002</v>
      </c>
      <c r="DV101" s="70">
        <f t="shared" si="281"/>
        <v>268.24</v>
      </c>
      <c r="DW101" s="70">
        <f t="shared" si="281"/>
        <v>0</v>
      </c>
      <c r="DX101" s="70">
        <f t="shared" si="281"/>
        <v>12</v>
      </c>
      <c r="DY101" s="70">
        <f t="shared" si="281"/>
        <v>403.1</v>
      </c>
      <c r="DZ101" s="70">
        <f t="shared" si="281"/>
        <v>280.24</v>
      </c>
      <c r="EA101" s="70">
        <f t="shared" si="281"/>
        <v>0</v>
      </c>
      <c r="EB101" s="96">
        <f t="shared" si="281"/>
        <v>0</v>
      </c>
      <c r="EC101" s="70">
        <f t="shared" si="281"/>
        <v>4517.1899999999996</v>
      </c>
      <c r="ED101" s="70">
        <f t="shared" si="281"/>
        <v>2963.74</v>
      </c>
      <c r="EE101" s="70">
        <f t="shared" si="281"/>
        <v>4443.18</v>
      </c>
      <c r="EF101" s="70">
        <f t="shared" si="281"/>
        <v>2961</v>
      </c>
      <c r="EG101" s="70">
        <f t="shared" si="281"/>
        <v>190.5</v>
      </c>
      <c r="EH101" s="70" t="e">
        <f t="shared" si="281"/>
        <v>#DIV/0!</v>
      </c>
      <c r="EI101" s="70">
        <f t="shared" si="281"/>
        <v>74.009999999999991</v>
      </c>
      <c r="EJ101" s="70">
        <f t="shared" si="281"/>
        <v>2.74</v>
      </c>
      <c r="EK101" s="70">
        <f t="shared" si="281"/>
        <v>403.92</v>
      </c>
      <c r="EL101" s="70">
        <f t="shared" si="281"/>
        <v>269.18</v>
      </c>
      <c r="EM101" s="70">
        <f t="shared" si="281"/>
        <v>329.91</v>
      </c>
      <c r="EN101" s="70">
        <f t="shared" si="281"/>
        <v>266.44</v>
      </c>
      <c r="EO101" s="70">
        <f t="shared" si="281"/>
        <v>0</v>
      </c>
      <c r="EP101" s="70">
        <f t="shared" si="281"/>
        <v>300</v>
      </c>
      <c r="EQ101" s="66">
        <f t="shared" si="281"/>
        <v>0</v>
      </c>
      <c r="ER101" s="46"/>
      <c r="ES101" s="46">
        <f t="shared" si="281"/>
        <v>0</v>
      </c>
      <c r="ET101" s="46">
        <f t="shared" si="281"/>
        <v>0</v>
      </c>
      <c r="EU101" s="5">
        <f t="shared" si="270"/>
        <v>396.8100000000004</v>
      </c>
      <c r="EV101" s="5">
        <f t="shared" si="270"/>
        <v>-13.739999999999782</v>
      </c>
      <c r="EW101" s="46">
        <f t="shared" si="281"/>
        <v>4914</v>
      </c>
      <c r="EX101" s="46">
        <f t="shared" si="281"/>
        <v>3250</v>
      </c>
      <c r="EY101" s="46">
        <f t="shared" si="281"/>
        <v>5224.8</v>
      </c>
      <c r="EZ101" s="46">
        <f t="shared" si="281"/>
        <v>3500</v>
      </c>
      <c r="FA101" s="46">
        <f t="shared" si="281"/>
        <v>0</v>
      </c>
      <c r="FB101" s="46">
        <f t="shared" si="281"/>
        <v>0</v>
      </c>
      <c r="FC101" s="46">
        <f t="shared" ref="FC101:FE101" si="282">+FC99+FC100</f>
        <v>0</v>
      </c>
      <c r="FD101" s="46">
        <f t="shared" si="282"/>
        <v>0</v>
      </c>
      <c r="FE101" s="46">
        <f t="shared" si="282"/>
        <v>0</v>
      </c>
    </row>
    <row r="102" spans="1:162" ht="18.75" x14ac:dyDescent="0.25">
      <c r="A102" s="37">
        <v>10</v>
      </c>
      <c r="B102" s="37"/>
      <c r="C102" s="91" t="s">
        <v>255</v>
      </c>
      <c r="D102" s="38" t="s">
        <v>265</v>
      </c>
      <c r="E102" s="39"/>
      <c r="F102" s="40">
        <v>1791.12</v>
      </c>
      <c r="G102" s="40">
        <v>277.14</v>
      </c>
      <c r="H102" s="40">
        <v>1791.12</v>
      </c>
      <c r="I102" s="40">
        <v>277.14</v>
      </c>
      <c r="J102" s="41">
        <v>2310</v>
      </c>
      <c r="K102" s="41">
        <v>0</v>
      </c>
      <c r="L102" s="41">
        <v>0</v>
      </c>
      <c r="M102" s="41">
        <f t="shared" si="246"/>
        <v>2310</v>
      </c>
      <c r="N102" s="41">
        <v>0</v>
      </c>
      <c r="O102" s="41">
        <v>0</v>
      </c>
      <c r="P102" s="41">
        <v>0</v>
      </c>
      <c r="Q102" s="41">
        <f t="shared" si="275"/>
        <v>0</v>
      </c>
      <c r="R102" s="41">
        <f t="shared" si="269"/>
        <v>2310</v>
      </c>
      <c r="S102" s="41">
        <v>350</v>
      </c>
      <c r="T102" s="92"/>
      <c r="U102" s="92"/>
      <c r="V102" s="40">
        <f t="shared" ref="V102:V103" si="283">ROUND(H102*1.0583,2)</f>
        <v>1895.54</v>
      </c>
      <c r="W102" s="40">
        <f t="shared" ref="W102:W103" si="284">ROUND(I102*1.0327,2)</f>
        <v>286.2</v>
      </c>
      <c r="X102" s="43">
        <f t="shared" si="170"/>
        <v>414.46000000000004</v>
      </c>
      <c r="Y102" s="43">
        <f t="shared" si="170"/>
        <v>63.800000000000011</v>
      </c>
      <c r="Z102" s="43">
        <v>1895.54</v>
      </c>
      <c r="AA102" s="43"/>
      <c r="AB102" s="43">
        <f t="shared" si="182"/>
        <v>1895.54</v>
      </c>
      <c r="AC102" s="43">
        <f t="shared" si="183"/>
        <v>0</v>
      </c>
      <c r="AD102" s="43">
        <f t="shared" ref="AD102:AE103" si="285">IF(X102&gt;0,V102,R102)</f>
        <v>1895.54</v>
      </c>
      <c r="AE102" s="43">
        <f t="shared" si="285"/>
        <v>286.2</v>
      </c>
      <c r="AF102" s="43">
        <f t="shared" si="184"/>
        <v>315.77</v>
      </c>
      <c r="AG102" s="43">
        <f t="shared" si="171"/>
        <v>474</v>
      </c>
      <c r="AH102" s="43">
        <f t="shared" si="171"/>
        <v>72</v>
      </c>
      <c r="AI102" s="93">
        <f t="shared" si="172"/>
        <v>158</v>
      </c>
      <c r="AJ102" s="43">
        <f t="shared" si="172"/>
        <v>24</v>
      </c>
      <c r="AK102" s="43"/>
      <c r="AL102" s="43"/>
      <c r="AM102" s="43">
        <f t="shared" si="185"/>
        <v>473.89</v>
      </c>
      <c r="AN102" s="43">
        <f t="shared" si="186"/>
        <v>69.69</v>
      </c>
      <c r="AO102" s="43"/>
      <c r="AP102" s="43"/>
      <c r="AQ102" s="43">
        <f t="shared" si="173"/>
        <v>947.89</v>
      </c>
      <c r="AR102" s="43">
        <f t="shared" si="173"/>
        <v>141.69</v>
      </c>
      <c r="AS102" s="43"/>
      <c r="AT102" s="43"/>
      <c r="AU102" s="43">
        <f t="shared" si="260"/>
        <v>473.89</v>
      </c>
      <c r="AV102" s="43">
        <f t="shared" si="257"/>
        <v>71.55</v>
      </c>
      <c r="AW102" s="43"/>
      <c r="AX102" s="43"/>
      <c r="AY102" s="43">
        <f t="shared" si="166"/>
        <v>1579.78</v>
      </c>
      <c r="AZ102" s="43">
        <f t="shared" si="166"/>
        <v>237.24</v>
      </c>
      <c r="BA102" s="43">
        <f t="shared" si="167"/>
        <v>1817.02</v>
      </c>
      <c r="BB102" s="60">
        <v>1551.21</v>
      </c>
      <c r="BC102" s="60">
        <v>160.82</v>
      </c>
      <c r="BD102" s="60">
        <f t="shared" si="168"/>
        <v>28.569999999999936</v>
      </c>
      <c r="BE102" s="60">
        <f t="shared" si="168"/>
        <v>76.420000000000016</v>
      </c>
      <c r="BF102" s="60">
        <f t="shared" si="169"/>
        <v>310.24</v>
      </c>
      <c r="BG102" s="60">
        <f t="shared" si="169"/>
        <v>32.159999999999997</v>
      </c>
      <c r="BH102" s="43">
        <v>140.84</v>
      </c>
      <c r="BI102" s="43">
        <v>0</v>
      </c>
      <c r="BJ102" s="43"/>
      <c r="BK102" s="43"/>
      <c r="BL102" s="43">
        <f t="shared" si="180"/>
        <v>1720.62</v>
      </c>
      <c r="BM102" s="43">
        <f t="shared" si="180"/>
        <v>237.24</v>
      </c>
      <c r="BN102" s="43">
        <f t="shared" si="187"/>
        <v>1957.86</v>
      </c>
      <c r="BO102" s="43">
        <v>1709.34</v>
      </c>
      <c r="BP102" s="93">
        <v>226.98</v>
      </c>
      <c r="BQ102" s="43">
        <f t="shared" si="188"/>
        <v>11.279999999999973</v>
      </c>
      <c r="BR102" s="43">
        <f t="shared" si="188"/>
        <v>10.260000000000019</v>
      </c>
      <c r="BS102" s="43">
        <f t="shared" si="189"/>
        <v>155.38999999999999</v>
      </c>
      <c r="BT102" s="43">
        <f t="shared" si="189"/>
        <v>20.63</v>
      </c>
      <c r="BU102" s="43">
        <f t="shared" si="212"/>
        <v>144.11000000000001</v>
      </c>
      <c r="BV102" s="43">
        <v>0</v>
      </c>
      <c r="BW102" s="43">
        <v>10</v>
      </c>
      <c r="BX102" s="43">
        <f>48+0.96</f>
        <v>48.96</v>
      </c>
      <c r="BY102" s="43"/>
      <c r="BZ102" s="43"/>
      <c r="CA102" s="43">
        <v>1874.73</v>
      </c>
      <c r="CB102" s="43">
        <v>286.2</v>
      </c>
      <c r="CC102" s="92">
        <v>2062.1999999999998</v>
      </c>
      <c r="CD102" s="92">
        <v>329.13</v>
      </c>
      <c r="CE102" s="92">
        <v>172</v>
      </c>
      <c r="CF102" s="92">
        <v>27</v>
      </c>
      <c r="CG102" s="92">
        <f t="shared" si="190"/>
        <v>468.68</v>
      </c>
      <c r="CH102" s="92">
        <f t="shared" si="190"/>
        <v>71.55</v>
      </c>
      <c r="CI102" s="43"/>
      <c r="CJ102" s="43"/>
      <c r="CK102" s="43">
        <v>543</v>
      </c>
      <c r="CL102" s="72">
        <f>120-30</f>
        <v>90</v>
      </c>
      <c r="CM102" s="72"/>
      <c r="CN102" s="72"/>
      <c r="CO102" s="43">
        <v>2180</v>
      </c>
      <c r="CP102" s="43">
        <v>210</v>
      </c>
      <c r="CQ102" s="43">
        <f t="shared" si="191"/>
        <v>2172</v>
      </c>
      <c r="CR102" s="43">
        <f t="shared" si="191"/>
        <v>360</v>
      </c>
      <c r="CS102" s="43">
        <f t="shared" si="192"/>
        <v>2172</v>
      </c>
      <c r="CT102" s="43">
        <f t="shared" si="192"/>
        <v>210</v>
      </c>
      <c r="CU102" s="43">
        <f t="shared" si="192"/>
        <v>2172</v>
      </c>
      <c r="CV102" s="43">
        <f t="shared" si="192"/>
        <v>210</v>
      </c>
      <c r="CW102" s="43">
        <f t="shared" si="193"/>
        <v>543</v>
      </c>
      <c r="CX102" s="43">
        <f t="shared" si="193"/>
        <v>52.5</v>
      </c>
      <c r="CY102" s="43"/>
      <c r="CZ102" s="43"/>
      <c r="DA102" s="43">
        <f t="shared" si="194"/>
        <v>1258</v>
      </c>
      <c r="DB102" s="43">
        <f t="shared" si="194"/>
        <v>169.5</v>
      </c>
      <c r="DC102" s="43">
        <v>1167.3599999999999</v>
      </c>
      <c r="DD102" s="43">
        <v>142.22</v>
      </c>
      <c r="DE102" s="43">
        <f t="shared" si="195"/>
        <v>90.6400000000001</v>
      </c>
      <c r="DF102" s="43">
        <f t="shared" si="195"/>
        <v>27.28</v>
      </c>
      <c r="DG102" s="43">
        <f>ROUND(0.25*(MIN(CU102,EW102)),2)</f>
        <v>543</v>
      </c>
      <c r="DH102" s="43">
        <f>ROUND(0.25*(MIN(CV102,EX102)),2)</f>
        <v>52.5</v>
      </c>
      <c r="DI102" s="43">
        <f t="shared" si="196"/>
        <v>452.3599999999999</v>
      </c>
      <c r="DJ102" s="43">
        <f>+DH102-DF102</f>
        <v>25.22</v>
      </c>
      <c r="DK102" s="43"/>
      <c r="DL102" s="43"/>
      <c r="DM102" s="43">
        <f t="shared" si="197"/>
        <v>1710.36</v>
      </c>
      <c r="DN102" s="43">
        <f t="shared" si="197"/>
        <v>194.72</v>
      </c>
      <c r="DO102" s="94">
        <v>1683.95</v>
      </c>
      <c r="DP102" s="95">
        <v>144.03</v>
      </c>
      <c r="DQ102" s="60">
        <f t="shared" si="198"/>
        <v>26.41</v>
      </c>
      <c r="DR102" s="60">
        <f t="shared" si="198"/>
        <v>50.69</v>
      </c>
      <c r="DS102" s="60">
        <f t="shared" si="199"/>
        <v>168.39500000000001</v>
      </c>
      <c r="DT102" s="60">
        <f t="shared" si="199"/>
        <v>14.403</v>
      </c>
      <c r="DU102" s="60">
        <f t="shared" si="200"/>
        <v>141.98500000000001</v>
      </c>
      <c r="DV102" s="60">
        <f t="shared" si="200"/>
        <v>-36.286999999999999</v>
      </c>
      <c r="DW102" s="60"/>
      <c r="DX102" s="60"/>
      <c r="DY102" s="60">
        <f t="shared" si="214"/>
        <v>141.99</v>
      </c>
      <c r="DZ102" s="60">
        <v>0</v>
      </c>
      <c r="EA102" s="60"/>
      <c r="EB102" s="60"/>
      <c r="EC102" s="43">
        <f t="shared" si="201"/>
        <v>1852.35</v>
      </c>
      <c r="ED102" s="43">
        <f t="shared" si="201"/>
        <v>194.72</v>
      </c>
      <c r="EE102" s="43">
        <v>1851.97</v>
      </c>
      <c r="EF102" s="43">
        <v>144.35</v>
      </c>
      <c r="EG102" s="43">
        <f t="shared" si="245"/>
        <v>99.98</v>
      </c>
      <c r="EH102" s="43">
        <f t="shared" si="245"/>
        <v>74.13</v>
      </c>
      <c r="EI102" s="43">
        <f t="shared" si="202"/>
        <v>0.38</v>
      </c>
      <c r="EJ102" s="43">
        <f t="shared" si="202"/>
        <v>50.37</v>
      </c>
      <c r="EK102" s="43">
        <f t="shared" si="203"/>
        <v>168.36</v>
      </c>
      <c r="EL102" s="43">
        <f t="shared" si="203"/>
        <v>13.12</v>
      </c>
      <c r="EM102" s="43">
        <f t="shared" si="204"/>
        <v>167.98000000000002</v>
      </c>
      <c r="EN102" s="43">
        <f t="shared" si="204"/>
        <v>-37.25</v>
      </c>
      <c r="EO102" s="43">
        <v>180</v>
      </c>
      <c r="EP102" s="43">
        <v>30</v>
      </c>
      <c r="EQ102" s="5"/>
      <c r="ER102" s="5"/>
      <c r="ES102" s="5"/>
      <c r="ET102" s="5"/>
      <c r="EU102" s="5">
        <f t="shared" si="270"/>
        <v>139.65000000000009</v>
      </c>
      <c r="EV102" s="5">
        <f t="shared" si="270"/>
        <v>-14.719999999999999</v>
      </c>
      <c r="EW102" s="5">
        <v>2172</v>
      </c>
      <c r="EX102" s="5">
        <v>210</v>
      </c>
      <c r="EY102" s="5">
        <v>2600</v>
      </c>
      <c r="EZ102" s="5">
        <v>400</v>
      </c>
    </row>
    <row r="103" spans="1:162" ht="37.5" x14ac:dyDescent="0.25">
      <c r="A103" s="37">
        <v>11</v>
      </c>
      <c r="B103" s="37"/>
      <c r="C103" s="91" t="s">
        <v>255</v>
      </c>
      <c r="D103" s="38" t="s">
        <v>266</v>
      </c>
      <c r="E103" s="39"/>
      <c r="F103" s="40">
        <v>252.36</v>
      </c>
      <c r="G103" s="40">
        <v>0</v>
      </c>
      <c r="H103" s="40">
        <v>252.36</v>
      </c>
      <c r="I103" s="40">
        <v>0</v>
      </c>
      <c r="J103" s="41">
        <v>288</v>
      </c>
      <c r="K103" s="41">
        <v>0</v>
      </c>
      <c r="L103" s="41">
        <v>0</v>
      </c>
      <c r="M103" s="41">
        <f t="shared" si="246"/>
        <v>288</v>
      </c>
      <c r="N103" s="41">
        <v>0</v>
      </c>
      <c r="O103" s="41">
        <v>0</v>
      </c>
      <c r="P103" s="41">
        <v>0</v>
      </c>
      <c r="Q103" s="41">
        <f t="shared" si="275"/>
        <v>0</v>
      </c>
      <c r="R103" s="41">
        <f t="shared" si="269"/>
        <v>288</v>
      </c>
      <c r="S103" s="41">
        <v>0</v>
      </c>
      <c r="T103" s="92"/>
      <c r="U103" s="92"/>
      <c r="V103" s="40">
        <f t="shared" si="283"/>
        <v>267.07</v>
      </c>
      <c r="W103" s="40">
        <f t="shared" si="284"/>
        <v>0</v>
      </c>
      <c r="X103" s="43">
        <f t="shared" si="170"/>
        <v>20.930000000000007</v>
      </c>
      <c r="Y103" s="43">
        <f t="shared" si="170"/>
        <v>0</v>
      </c>
      <c r="Z103" s="43">
        <v>267.07</v>
      </c>
      <c r="AA103" s="43"/>
      <c r="AB103" s="43">
        <f t="shared" si="182"/>
        <v>267.07</v>
      </c>
      <c r="AC103" s="43">
        <f t="shared" si="183"/>
        <v>0</v>
      </c>
      <c r="AD103" s="43">
        <f t="shared" si="285"/>
        <v>267.07</v>
      </c>
      <c r="AE103" s="43">
        <f t="shared" si="285"/>
        <v>0</v>
      </c>
      <c r="AF103" s="43">
        <f t="shared" si="184"/>
        <v>0</v>
      </c>
      <c r="AG103" s="43">
        <f t="shared" si="171"/>
        <v>67</v>
      </c>
      <c r="AH103" s="43">
        <f t="shared" si="171"/>
        <v>0</v>
      </c>
      <c r="AI103" s="93">
        <f t="shared" si="172"/>
        <v>22</v>
      </c>
      <c r="AJ103" s="43">
        <f t="shared" si="172"/>
        <v>0</v>
      </c>
      <c r="AK103" s="43"/>
      <c r="AL103" s="43"/>
      <c r="AM103" s="43">
        <f t="shared" si="185"/>
        <v>66.77</v>
      </c>
      <c r="AN103" s="43">
        <f t="shared" si="186"/>
        <v>0</v>
      </c>
      <c r="AO103" s="43"/>
      <c r="AP103" s="43"/>
      <c r="AQ103" s="43">
        <f t="shared" si="173"/>
        <v>133.76999999999998</v>
      </c>
      <c r="AR103" s="43">
        <f t="shared" si="173"/>
        <v>0</v>
      </c>
      <c r="AS103" s="43"/>
      <c r="AT103" s="43"/>
      <c r="AU103" s="43">
        <f t="shared" si="260"/>
        <v>66.77</v>
      </c>
      <c r="AV103" s="43">
        <f t="shared" si="257"/>
        <v>0</v>
      </c>
      <c r="AW103" s="43"/>
      <c r="AX103" s="43"/>
      <c r="AY103" s="43">
        <f t="shared" si="166"/>
        <v>222.53999999999996</v>
      </c>
      <c r="AZ103" s="43">
        <f t="shared" si="166"/>
        <v>0</v>
      </c>
      <c r="BA103" s="43">
        <f t="shared" si="167"/>
        <v>222.53999999999996</v>
      </c>
      <c r="BB103" s="60">
        <v>222.54</v>
      </c>
      <c r="BC103" s="60"/>
      <c r="BD103" s="60">
        <f t="shared" si="168"/>
        <v>0</v>
      </c>
      <c r="BE103" s="60">
        <f t="shared" si="168"/>
        <v>0</v>
      </c>
      <c r="BF103" s="60">
        <f t="shared" si="169"/>
        <v>44.51</v>
      </c>
      <c r="BG103" s="60">
        <f t="shared" si="169"/>
        <v>0</v>
      </c>
      <c r="BH103" s="43">
        <v>22.26</v>
      </c>
      <c r="BI103" s="43">
        <v>0</v>
      </c>
      <c r="BJ103" s="43"/>
      <c r="BK103" s="43"/>
      <c r="BL103" s="43">
        <f t="shared" si="180"/>
        <v>244.79999999999995</v>
      </c>
      <c r="BM103" s="43">
        <f t="shared" si="180"/>
        <v>0</v>
      </c>
      <c r="BN103" s="43">
        <f t="shared" si="187"/>
        <v>244.79999999999995</v>
      </c>
      <c r="BO103" s="43">
        <v>222.54</v>
      </c>
      <c r="BP103" s="93"/>
      <c r="BQ103" s="43">
        <f t="shared" si="188"/>
        <v>22.259999999999962</v>
      </c>
      <c r="BR103" s="43">
        <f t="shared" si="188"/>
        <v>0</v>
      </c>
      <c r="BS103" s="43">
        <f t="shared" si="189"/>
        <v>20.23</v>
      </c>
      <c r="BT103" s="43">
        <f t="shared" si="189"/>
        <v>0</v>
      </c>
      <c r="BU103" s="43">
        <v>0</v>
      </c>
      <c r="BV103" s="43">
        <f t="shared" si="268"/>
        <v>0</v>
      </c>
      <c r="BW103" s="43">
        <v>25</v>
      </c>
      <c r="BX103" s="43"/>
      <c r="BY103" s="43"/>
      <c r="BZ103" s="43"/>
      <c r="CA103" s="43">
        <v>269.79999999999995</v>
      </c>
      <c r="CB103" s="43">
        <v>0</v>
      </c>
      <c r="CC103" s="92">
        <v>296.77999999999997</v>
      </c>
      <c r="CD103" s="92">
        <v>0</v>
      </c>
      <c r="CE103" s="92">
        <v>25</v>
      </c>
      <c r="CF103" s="92">
        <v>0</v>
      </c>
      <c r="CG103" s="92">
        <f t="shared" si="190"/>
        <v>67.45</v>
      </c>
      <c r="CH103" s="92">
        <f t="shared" si="190"/>
        <v>0</v>
      </c>
      <c r="CI103" s="43"/>
      <c r="CJ103" s="43"/>
      <c r="CK103" s="43">
        <v>75</v>
      </c>
      <c r="CL103" s="43"/>
      <c r="CM103" s="43"/>
      <c r="CN103" s="43"/>
      <c r="CO103" s="43">
        <v>300</v>
      </c>
      <c r="CP103" s="43"/>
      <c r="CQ103" s="43">
        <f t="shared" si="191"/>
        <v>300</v>
      </c>
      <c r="CR103" s="43">
        <f t="shared" si="191"/>
        <v>0</v>
      </c>
      <c r="CS103" s="43">
        <f t="shared" si="192"/>
        <v>300</v>
      </c>
      <c r="CT103" s="43">
        <f t="shared" si="192"/>
        <v>0</v>
      </c>
      <c r="CU103" s="43">
        <v>325</v>
      </c>
      <c r="CV103" s="43">
        <v>0</v>
      </c>
      <c r="CW103" s="43">
        <f t="shared" si="193"/>
        <v>81.25</v>
      </c>
      <c r="CX103" s="43">
        <f t="shared" si="193"/>
        <v>0</v>
      </c>
      <c r="CY103" s="43"/>
      <c r="CZ103" s="43"/>
      <c r="DA103" s="43">
        <f t="shared" si="194"/>
        <v>181.25</v>
      </c>
      <c r="DB103" s="43">
        <f t="shared" si="194"/>
        <v>0</v>
      </c>
      <c r="DC103" s="43">
        <v>181.25</v>
      </c>
      <c r="DD103" s="43">
        <v>0</v>
      </c>
      <c r="DE103" s="43">
        <f t="shared" si="195"/>
        <v>0</v>
      </c>
      <c r="DF103" s="43">
        <f t="shared" si="195"/>
        <v>0</v>
      </c>
      <c r="DG103" s="43">
        <f>ROUND(0.25*(MIN(CU103,EW103)),2)</f>
        <v>81.25</v>
      </c>
      <c r="DH103" s="43">
        <f>ROUND(0.25*(MIN(CV103,EX103)),2)</f>
        <v>0</v>
      </c>
      <c r="DI103" s="43">
        <f t="shared" si="196"/>
        <v>81.25</v>
      </c>
      <c r="DJ103" s="43">
        <f>+DH103-DF103</f>
        <v>0</v>
      </c>
      <c r="DK103" s="43"/>
      <c r="DL103" s="43"/>
      <c r="DM103" s="43">
        <f t="shared" si="197"/>
        <v>262.5</v>
      </c>
      <c r="DN103" s="43">
        <f t="shared" si="197"/>
        <v>0</v>
      </c>
      <c r="DO103" s="94">
        <v>262.5</v>
      </c>
      <c r="DP103" s="95">
        <v>0</v>
      </c>
      <c r="DQ103" s="60">
        <f t="shared" si="198"/>
        <v>0</v>
      </c>
      <c r="DR103" s="60">
        <f t="shared" si="198"/>
        <v>0</v>
      </c>
      <c r="DS103" s="60">
        <f t="shared" si="199"/>
        <v>26.25</v>
      </c>
      <c r="DT103" s="60">
        <f t="shared" si="199"/>
        <v>0</v>
      </c>
      <c r="DU103" s="60">
        <f t="shared" si="200"/>
        <v>26.25</v>
      </c>
      <c r="DV103" s="60">
        <f t="shared" si="200"/>
        <v>0</v>
      </c>
      <c r="DW103" s="60"/>
      <c r="DX103" s="60"/>
      <c r="DY103" s="60">
        <f t="shared" si="214"/>
        <v>26.25</v>
      </c>
      <c r="DZ103" s="60">
        <f t="shared" si="181"/>
        <v>0</v>
      </c>
      <c r="EA103" s="60"/>
      <c r="EB103" s="60"/>
      <c r="EC103" s="43">
        <f t="shared" si="201"/>
        <v>288.75</v>
      </c>
      <c r="ED103" s="43">
        <f t="shared" si="201"/>
        <v>0</v>
      </c>
      <c r="EE103" s="43">
        <v>288.75</v>
      </c>
      <c r="EF103" s="43">
        <v>0</v>
      </c>
      <c r="EG103" s="43">
        <f t="shared" si="245"/>
        <v>100</v>
      </c>
      <c r="EH103" s="43" t="e">
        <f t="shared" si="245"/>
        <v>#DIV/0!</v>
      </c>
      <c r="EI103" s="43">
        <f t="shared" si="202"/>
        <v>0</v>
      </c>
      <c r="EJ103" s="43">
        <f t="shared" si="202"/>
        <v>0</v>
      </c>
      <c r="EK103" s="43">
        <f t="shared" si="203"/>
        <v>26.25</v>
      </c>
      <c r="EL103" s="43">
        <f t="shared" si="203"/>
        <v>0</v>
      </c>
      <c r="EM103" s="43">
        <f t="shared" si="204"/>
        <v>26.25</v>
      </c>
      <c r="EN103" s="43">
        <f t="shared" si="204"/>
        <v>0</v>
      </c>
      <c r="EO103" s="43">
        <v>25</v>
      </c>
      <c r="EP103" s="43">
        <v>0</v>
      </c>
      <c r="EQ103" s="5"/>
      <c r="ER103" s="5"/>
      <c r="ES103" s="5"/>
      <c r="ET103" s="5"/>
      <c r="EU103" s="5">
        <f t="shared" si="270"/>
        <v>11.25</v>
      </c>
      <c r="EV103" s="5">
        <f t="shared" si="270"/>
        <v>0</v>
      </c>
      <c r="EW103" s="49">
        <v>325</v>
      </c>
      <c r="EX103" s="5">
        <v>0</v>
      </c>
      <c r="EY103" s="5">
        <v>300</v>
      </c>
      <c r="EZ103" s="5">
        <v>0</v>
      </c>
    </row>
    <row r="104" spans="1:162" ht="18.75" x14ac:dyDescent="0.25">
      <c r="A104" s="68"/>
      <c r="B104" s="68" t="s">
        <v>267</v>
      </c>
      <c r="C104" s="91" t="s">
        <v>255</v>
      </c>
      <c r="D104" s="67" t="s">
        <v>265</v>
      </c>
      <c r="E104" s="69" t="s">
        <v>268</v>
      </c>
      <c r="F104" s="70">
        <v>2043.48</v>
      </c>
      <c r="G104" s="70">
        <v>277.14</v>
      </c>
      <c r="H104" s="70">
        <v>2043.48</v>
      </c>
      <c r="I104" s="70">
        <v>277.14</v>
      </c>
      <c r="J104" s="71">
        <f t="shared" ref="J104:AA104" si="286">+J102+J103</f>
        <v>2598</v>
      </c>
      <c r="K104" s="71">
        <f t="shared" si="286"/>
        <v>0</v>
      </c>
      <c r="L104" s="71">
        <f t="shared" si="286"/>
        <v>0</v>
      </c>
      <c r="M104" s="71">
        <f t="shared" si="286"/>
        <v>2598</v>
      </c>
      <c r="N104" s="71">
        <f t="shared" si="286"/>
        <v>0</v>
      </c>
      <c r="O104" s="71">
        <f t="shared" si="286"/>
        <v>0</v>
      </c>
      <c r="P104" s="71">
        <f t="shared" si="286"/>
        <v>0</v>
      </c>
      <c r="Q104" s="71">
        <f t="shared" si="286"/>
        <v>0</v>
      </c>
      <c r="R104" s="71">
        <f t="shared" si="286"/>
        <v>2598</v>
      </c>
      <c r="S104" s="71">
        <f t="shared" si="286"/>
        <v>350</v>
      </c>
      <c r="T104" s="71">
        <f t="shared" si="286"/>
        <v>0</v>
      </c>
      <c r="U104" s="71">
        <f t="shared" si="286"/>
        <v>0</v>
      </c>
      <c r="V104" s="71">
        <f t="shared" si="286"/>
        <v>2162.61</v>
      </c>
      <c r="W104" s="71">
        <f t="shared" si="286"/>
        <v>286.2</v>
      </c>
      <c r="X104" s="71">
        <f t="shared" si="286"/>
        <v>435.39000000000004</v>
      </c>
      <c r="Y104" s="71">
        <f t="shared" si="286"/>
        <v>63.800000000000011</v>
      </c>
      <c r="Z104" s="71">
        <f t="shared" si="286"/>
        <v>2162.61</v>
      </c>
      <c r="AA104" s="71">
        <f t="shared" si="286"/>
        <v>0</v>
      </c>
      <c r="AB104" s="70">
        <f t="shared" si="182"/>
        <v>2162.61</v>
      </c>
      <c r="AC104" s="43">
        <f t="shared" si="183"/>
        <v>0</v>
      </c>
      <c r="AD104" s="70">
        <f t="shared" ref="AD104:CP104" si="287">+AD102+AD103</f>
        <v>2162.61</v>
      </c>
      <c r="AE104" s="70">
        <f t="shared" si="287"/>
        <v>286.2</v>
      </c>
      <c r="AF104" s="70">
        <f t="shared" si="287"/>
        <v>315.77</v>
      </c>
      <c r="AG104" s="70">
        <f t="shared" si="287"/>
        <v>541</v>
      </c>
      <c r="AH104" s="70">
        <f t="shared" si="287"/>
        <v>72</v>
      </c>
      <c r="AI104" s="96">
        <f t="shared" si="287"/>
        <v>180</v>
      </c>
      <c r="AJ104" s="70">
        <f t="shared" si="287"/>
        <v>24</v>
      </c>
      <c r="AK104" s="70">
        <f t="shared" si="287"/>
        <v>0</v>
      </c>
      <c r="AL104" s="70">
        <f t="shared" si="287"/>
        <v>0</v>
      </c>
      <c r="AM104" s="70">
        <f t="shared" si="287"/>
        <v>540.66</v>
      </c>
      <c r="AN104" s="70">
        <f t="shared" si="287"/>
        <v>69.69</v>
      </c>
      <c r="AO104" s="70">
        <f t="shared" si="287"/>
        <v>0</v>
      </c>
      <c r="AP104" s="70">
        <f t="shared" si="287"/>
        <v>0</v>
      </c>
      <c r="AQ104" s="70">
        <f t="shared" si="287"/>
        <v>1081.6599999999999</v>
      </c>
      <c r="AR104" s="70">
        <f t="shared" si="287"/>
        <v>141.69</v>
      </c>
      <c r="AS104" s="70">
        <f t="shared" si="287"/>
        <v>0</v>
      </c>
      <c r="AT104" s="70">
        <f t="shared" si="287"/>
        <v>0</v>
      </c>
      <c r="AU104" s="70">
        <f t="shared" si="287"/>
        <v>540.66</v>
      </c>
      <c r="AV104" s="70">
        <f t="shared" si="287"/>
        <v>71.55</v>
      </c>
      <c r="AW104" s="70">
        <f t="shared" si="287"/>
        <v>0</v>
      </c>
      <c r="AX104" s="70">
        <f t="shared" si="287"/>
        <v>0</v>
      </c>
      <c r="AY104" s="70">
        <f t="shared" si="287"/>
        <v>1802.32</v>
      </c>
      <c r="AZ104" s="70">
        <f t="shared" si="287"/>
        <v>237.24</v>
      </c>
      <c r="BA104" s="70">
        <f t="shared" si="287"/>
        <v>2039.56</v>
      </c>
      <c r="BB104" s="70">
        <f t="shared" si="287"/>
        <v>1773.75</v>
      </c>
      <c r="BC104" s="70">
        <f t="shared" si="287"/>
        <v>160.82</v>
      </c>
      <c r="BD104" s="70">
        <f t="shared" si="287"/>
        <v>28.569999999999936</v>
      </c>
      <c r="BE104" s="70">
        <f t="shared" si="287"/>
        <v>76.420000000000016</v>
      </c>
      <c r="BF104" s="70">
        <f t="shared" si="287"/>
        <v>354.75</v>
      </c>
      <c r="BG104" s="96">
        <f t="shared" si="287"/>
        <v>32.159999999999997</v>
      </c>
      <c r="BH104" s="96">
        <f t="shared" si="287"/>
        <v>163.1</v>
      </c>
      <c r="BI104" s="96">
        <f t="shared" si="287"/>
        <v>0</v>
      </c>
      <c r="BJ104" s="96">
        <f t="shared" si="287"/>
        <v>0</v>
      </c>
      <c r="BK104" s="96">
        <f t="shared" si="287"/>
        <v>0</v>
      </c>
      <c r="BL104" s="96">
        <f t="shared" si="287"/>
        <v>1965.4199999999998</v>
      </c>
      <c r="BM104" s="96">
        <f t="shared" si="287"/>
        <v>237.24</v>
      </c>
      <c r="BN104" s="96">
        <f t="shared" si="287"/>
        <v>2202.66</v>
      </c>
      <c r="BO104" s="96">
        <f t="shared" si="287"/>
        <v>1931.8799999999999</v>
      </c>
      <c r="BP104" s="96">
        <f t="shared" si="287"/>
        <v>226.98</v>
      </c>
      <c r="BQ104" s="70">
        <f t="shared" si="287"/>
        <v>33.539999999999935</v>
      </c>
      <c r="BR104" s="70">
        <f t="shared" si="287"/>
        <v>10.260000000000019</v>
      </c>
      <c r="BS104" s="70">
        <f t="shared" si="287"/>
        <v>175.61999999999998</v>
      </c>
      <c r="BT104" s="70">
        <f t="shared" si="287"/>
        <v>20.63</v>
      </c>
      <c r="BU104" s="70">
        <f t="shared" si="287"/>
        <v>144.11000000000001</v>
      </c>
      <c r="BV104" s="70">
        <f t="shared" si="287"/>
        <v>0</v>
      </c>
      <c r="BW104" s="70">
        <f t="shared" si="287"/>
        <v>35</v>
      </c>
      <c r="BX104" s="70">
        <f t="shared" si="287"/>
        <v>48.96</v>
      </c>
      <c r="BY104" s="70">
        <f t="shared" si="287"/>
        <v>0</v>
      </c>
      <c r="BZ104" s="70">
        <f t="shared" si="287"/>
        <v>0</v>
      </c>
      <c r="CA104" s="70">
        <f t="shared" si="287"/>
        <v>2144.5299999999997</v>
      </c>
      <c r="CB104" s="70">
        <f t="shared" si="287"/>
        <v>286.2</v>
      </c>
      <c r="CC104" s="70">
        <f t="shared" si="287"/>
        <v>2358.9799999999996</v>
      </c>
      <c r="CD104" s="70">
        <f t="shared" si="287"/>
        <v>329.13</v>
      </c>
      <c r="CE104" s="70">
        <f t="shared" si="287"/>
        <v>197</v>
      </c>
      <c r="CF104" s="70">
        <f t="shared" si="287"/>
        <v>27</v>
      </c>
      <c r="CG104" s="70">
        <f t="shared" si="287"/>
        <v>536.13</v>
      </c>
      <c r="CH104" s="96">
        <f t="shared" si="287"/>
        <v>71.55</v>
      </c>
      <c r="CI104" s="70">
        <f t="shared" si="287"/>
        <v>0</v>
      </c>
      <c r="CJ104" s="70">
        <f t="shared" si="287"/>
        <v>0</v>
      </c>
      <c r="CK104" s="70">
        <f t="shared" si="287"/>
        <v>618</v>
      </c>
      <c r="CL104" s="70">
        <f t="shared" si="287"/>
        <v>90</v>
      </c>
      <c r="CM104" s="70">
        <f t="shared" si="287"/>
        <v>0</v>
      </c>
      <c r="CN104" s="70">
        <f t="shared" si="287"/>
        <v>0</v>
      </c>
      <c r="CO104" s="70">
        <f t="shared" si="287"/>
        <v>2480</v>
      </c>
      <c r="CP104" s="70">
        <f t="shared" si="287"/>
        <v>210</v>
      </c>
      <c r="CQ104" s="70">
        <f t="shared" ref="CQ104:FB104" si="288">+CQ102+CQ103</f>
        <v>2472</v>
      </c>
      <c r="CR104" s="70">
        <f t="shared" si="288"/>
        <v>360</v>
      </c>
      <c r="CS104" s="70">
        <f t="shared" si="288"/>
        <v>2472</v>
      </c>
      <c r="CT104" s="70">
        <f t="shared" si="288"/>
        <v>210</v>
      </c>
      <c r="CU104" s="70">
        <f t="shared" si="288"/>
        <v>2497</v>
      </c>
      <c r="CV104" s="70">
        <f t="shared" si="288"/>
        <v>210</v>
      </c>
      <c r="CW104" s="70">
        <f t="shared" si="288"/>
        <v>624.25</v>
      </c>
      <c r="CX104" s="70">
        <f t="shared" si="288"/>
        <v>52.5</v>
      </c>
      <c r="CY104" s="70">
        <f t="shared" si="288"/>
        <v>0</v>
      </c>
      <c r="CZ104" s="70">
        <f t="shared" si="288"/>
        <v>0</v>
      </c>
      <c r="DA104" s="70">
        <f t="shared" si="288"/>
        <v>1439.25</v>
      </c>
      <c r="DB104" s="70">
        <f t="shared" si="288"/>
        <v>169.5</v>
      </c>
      <c r="DC104" s="70">
        <f t="shared" si="288"/>
        <v>1348.61</v>
      </c>
      <c r="DD104" s="70">
        <f t="shared" si="288"/>
        <v>142.22</v>
      </c>
      <c r="DE104" s="70">
        <f t="shared" si="288"/>
        <v>90.6400000000001</v>
      </c>
      <c r="DF104" s="70">
        <f t="shared" si="288"/>
        <v>27.28</v>
      </c>
      <c r="DG104" s="70">
        <f t="shared" si="288"/>
        <v>624.25</v>
      </c>
      <c r="DH104" s="70">
        <f t="shared" si="288"/>
        <v>52.5</v>
      </c>
      <c r="DI104" s="70">
        <f t="shared" si="288"/>
        <v>533.6099999999999</v>
      </c>
      <c r="DJ104" s="70">
        <f t="shared" si="288"/>
        <v>25.22</v>
      </c>
      <c r="DK104" s="70">
        <f t="shared" si="288"/>
        <v>0</v>
      </c>
      <c r="DL104" s="70">
        <f t="shared" si="288"/>
        <v>0</v>
      </c>
      <c r="DM104" s="70">
        <f t="shared" si="288"/>
        <v>1972.86</v>
      </c>
      <c r="DN104" s="70">
        <f t="shared" si="288"/>
        <v>194.72</v>
      </c>
      <c r="DO104" s="70">
        <f t="shared" si="288"/>
        <v>1946.45</v>
      </c>
      <c r="DP104" s="70">
        <f t="shared" si="288"/>
        <v>144.03</v>
      </c>
      <c r="DQ104" s="70">
        <f t="shared" si="288"/>
        <v>26.41</v>
      </c>
      <c r="DR104" s="70">
        <f t="shared" si="288"/>
        <v>50.69</v>
      </c>
      <c r="DS104" s="70">
        <f t="shared" si="288"/>
        <v>194.64500000000001</v>
      </c>
      <c r="DT104" s="70">
        <f t="shared" si="288"/>
        <v>14.403</v>
      </c>
      <c r="DU104" s="70">
        <f t="shared" si="288"/>
        <v>168.23500000000001</v>
      </c>
      <c r="DV104" s="70">
        <f t="shared" si="288"/>
        <v>-36.286999999999999</v>
      </c>
      <c r="DW104" s="70">
        <f t="shared" si="288"/>
        <v>0</v>
      </c>
      <c r="DX104" s="70">
        <f t="shared" si="288"/>
        <v>0</v>
      </c>
      <c r="DY104" s="70">
        <f t="shared" si="288"/>
        <v>168.24</v>
      </c>
      <c r="DZ104" s="70">
        <f t="shared" si="288"/>
        <v>0</v>
      </c>
      <c r="EA104" s="70">
        <f t="shared" si="288"/>
        <v>0</v>
      </c>
      <c r="EB104" s="96">
        <f t="shared" si="288"/>
        <v>0</v>
      </c>
      <c r="EC104" s="70">
        <f t="shared" si="288"/>
        <v>2141.1</v>
      </c>
      <c r="ED104" s="70">
        <f t="shared" si="288"/>
        <v>194.72</v>
      </c>
      <c r="EE104" s="70">
        <f t="shared" si="288"/>
        <v>2140.7200000000003</v>
      </c>
      <c r="EF104" s="70">
        <f t="shared" si="288"/>
        <v>144.35</v>
      </c>
      <c r="EG104" s="70">
        <f t="shared" si="288"/>
        <v>199.98000000000002</v>
      </c>
      <c r="EH104" s="70" t="e">
        <f t="shared" si="288"/>
        <v>#DIV/0!</v>
      </c>
      <c r="EI104" s="70">
        <f t="shared" si="288"/>
        <v>0.38</v>
      </c>
      <c r="EJ104" s="70">
        <f t="shared" si="288"/>
        <v>50.37</v>
      </c>
      <c r="EK104" s="70">
        <f t="shared" si="288"/>
        <v>194.61</v>
      </c>
      <c r="EL104" s="70">
        <f t="shared" si="288"/>
        <v>13.12</v>
      </c>
      <c r="EM104" s="70">
        <f t="shared" si="288"/>
        <v>194.23000000000002</v>
      </c>
      <c r="EN104" s="70">
        <f t="shared" si="288"/>
        <v>-37.25</v>
      </c>
      <c r="EO104" s="70">
        <f t="shared" si="288"/>
        <v>205</v>
      </c>
      <c r="EP104" s="70">
        <f t="shared" si="288"/>
        <v>30</v>
      </c>
      <c r="EQ104" s="66">
        <f t="shared" si="288"/>
        <v>0</v>
      </c>
      <c r="ER104" s="46">
        <f t="shared" si="288"/>
        <v>0</v>
      </c>
      <c r="ES104" s="46">
        <f t="shared" si="288"/>
        <v>0</v>
      </c>
      <c r="ET104" s="46">
        <f t="shared" si="288"/>
        <v>0</v>
      </c>
      <c r="EU104" s="5">
        <f t="shared" si="270"/>
        <v>150.90000000000009</v>
      </c>
      <c r="EV104" s="5">
        <f t="shared" si="270"/>
        <v>-14.719999999999999</v>
      </c>
      <c r="EW104" s="46">
        <f t="shared" si="288"/>
        <v>2497</v>
      </c>
      <c r="EX104" s="46">
        <f t="shared" si="288"/>
        <v>210</v>
      </c>
      <c r="EY104" s="46">
        <f t="shared" si="288"/>
        <v>2900</v>
      </c>
      <c r="EZ104" s="46">
        <f t="shared" si="288"/>
        <v>400</v>
      </c>
      <c r="FA104" s="46">
        <f t="shared" si="288"/>
        <v>0</v>
      </c>
      <c r="FB104" s="46">
        <f t="shared" si="288"/>
        <v>0</v>
      </c>
      <c r="FC104" s="46">
        <f t="shared" ref="FC104:FD104" si="289">+FC102+FC103</f>
        <v>0</v>
      </c>
      <c r="FD104" s="46">
        <f t="shared" si="289"/>
        <v>0</v>
      </c>
    </row>
    <row r="105" spans="1:162" ht="18.75" x14ac:dyDescent="0.25">
      <c r="A105" s="37">
        <v>12</v>
      </c>
      <c r="B105" s="37"/>
      <c r="C105" s="91" t="s">
        <v>198</v>
      </c>
      <c r="D105" s="38" t="s">
        <v>269</v>
      </c>
      <c r="E105" s="39"/>
      <c r="F105" s="40">
        <v>5520.0999999999985</v>
      </c>
      <c r="G105" s="40">
        <v>3447.08</v>
      </c>
      <c r="H105" s="40">
        <v>5520.0999999999985</v>
      </c>
      <c r="I105" s="40">
        <v>3497.08</v>
      </c>
      <c r="J105" s="41">
        <v>6900</v>
      </c>
      <c r="K105" s="41">
        <v>0</v>
      </c>
      <c r="L105" s="41">
        <v>0</v>
      </c>
      <c r="M105" s="41">
        <f t="shared" si="246"/>
        <v>6900</v>
      </c>
      <c r="N105" s="41">
        <v>0</v>
      </c>
      <c r="O105" s="41">
        <v>0</v>
      </c>
      <c r="P105" s="41">
        <v>0</v>
      </c>
      <c r="Q105" s="41">
        <f t="shared" ref="Q105:Q106" si="290">N105+O105+P105</f>
        <v>0</v>
      </c>
      <c r="R105" s="41">
        <f t="shared" si="269"/>
        <v>6900</v>
      </c>
      <c r="S105" s="41">
        <v>4200</v>
      </c>
      <c r="T105" s="92"/>
      <c r="U105" s="92"/>
      <c r="V105" s="40">
        <f t="shared" ref="V105:V106" si="291">ROUND(H105*1.0583,2)</f>
        <v>5841.92</v>
      </c>
      <c r="W105" s="40">
        <f t="shared" ref="W105:W106" si="292">ROUND(I105*1.0327,2)</f>
        <v>3611.43</v>
      </c>
      <c r="X105" s="43">
        <f t="shared" si="170"/>
        <v>1058.08</v>
      </c>
      <c r="Y105" s="43">
        <f t="shared" si="170"/>
        <v>588.57000000000016</v>
      </c>
      <c r="Z105" s="43">
        <v>5841.92</v>
      </c>
      <c r="AA105" s="43"/>
      <c r="AB105" s="43">
        <f t="shared" si="182"/>
        <v>5841.92</v>
      </c>
      <c r="AC105" s="43">
        <f t="shared" si="183"/>
        <v>0</v>
      </c>
      <c r="AD105" s="43">
        <f t="shared" ref="AD105:AE106" si="293">IF(X105&gt;0,V105,R105)</f>
        <v>5841.92</v>
      </c>
      <c r="AE105" s="43">
        <f t="shared" si="293"/>
        <v>3611.43</v>
      </c>
      <c r="AF105" s="43">
        <f t="shared" si="184"/>
        <v>3789.24</v>
      </c>
      <c r="AG105" s="43">
        <f t="shared" si="171"/>
        <v>1460</v>
      </c>
      <c r="AH105" s="43">
        <f t="shared" si="171"/>
        <v>903</v>
      </c>
      <c r="AI105" s="93">
        <f t="shared" si="172"/>
        <v>487</v>
      </c>
      <c r="AJ105" s="43">
        <f t="shared" si="172"/>
        <v>301</v>
      </c>
      <c r="AK105" s="43"/>
      <c r="AL105" s="43">
        <v>300</v>
      </c>
      <c r="AM105" s="43">
        <f t="shared" si="185"/>
        <v>1460.48</v>
      </c>
      <c r="AN105" s="43">
        <f t="shared" si="186"/>
        <v>879.38</v>
      </c>
      <c r="AO105" s="43"/>
      <c r="AP105" s="43"/>
      <c r="AQ105" s="43">
        <f t="shared" si="173"/>
        <v>2920.48</v>
      </c>
      <c r="AR105" s="43">
        <f t="shared" si="173"/>
        <v>2082.38</v>
      </c>
      <c r="AS105" s="43"/>
      <c r="AT105" s="43"/>
      <c r="AU105" s="43">
        <f t="shared" si="260"/>
        <v>1460.48</v>
      </c>
      <c r="AV105" s="43">
        <f t="shared" si="257"/>
        <v>902.86</v>
      </c>
      <c r="AW105" s="43"/>
      <c r="AX105" s="43"/>
      <c r="AY105" s="43">
        <f t="shared" si="166"/>
        <v>4867.96</v>
      </c>
      <c r="AZ105" s="43">
        <f t="shared" si="166"/>
        <v>3286.2400000000002</v>
      </c>
      <c r="BA105" s="43">
        <f t="shared" si="167"/>
        <v>8154.2000000000007</v>
      </c>
      <c r="BB105" s="60">
        <v>4851.8</v>
      </c>
      <c r="BC105" s="60">
        <v>3308</v>
      </c>
      <c r="BD105" s="60">
        <f t="shared" si="168"/>
        <v>16.159999999999854</v>
      </c>
      <c r="BE105" s="60">
        <f t="shared" si="168"/>
        <v>-21.759999999999764</v>
      </c>
      <c r="BF105" s="60">
        <f t="shared" si="169"/>
        <v>970.36</v>
      </c>
      <c r="BG105" s="60">
        <f t="shared" si="169"/>
        <v>661.6</v>
      </c>
      <c r="BH105" s="43">
        <v>477.1</v>
      </c>
      <c r="BI105" s="43">
        <v>300</v>
      </c>
      <c r="BJ105" s="43"/>
      <c r="BK105" s="43"/>
      <c r="BL105" s="43">
        <f t="shared" si="180"/>
        <v>5345.06</v>
      </c>
      <c r="BM105" s="43">
        <f t="shared" si="180"/>
        <v>3586.2400000000002</v>
      </c>
      <c r="BN105" s="43">
        <f t="shared" si="187"/>
        <v>8931.3000000000011</v>
      </c>
      <c r="BO105" s="43">
        <v>5384.74</v>
      </c>
      <c r="BP105" s="93">
        <v>3825.36</v>
      </c>
      <c r="BQ105" s="43">
        <f t="shared" si="188"/>
        <v>-39.679999999999382</v>
      </c>
      <c r="BR105" s="43">
        <f t="shared" si="188"/>
        <v>-239.11999999999989</v>
      </c>
      <c r="BS105" s="43">
        <f t="shared" si="189"/>
        <v>489.52</v>
      </c>
      <c r="BT105" s="43">
        <f t="shared" si="189"/>
        <v>347.76</v>
      </c>
      <c r="BU105" s="43">
        <v>529.20000000000005</v>
      </c>
      <c r="BV105" s="43">
        <f t="shared" si="268"/>
        <v>586.88</v>
      </c>
      <c r="BW105" s="43"/>
      <c r="BX105" s="43">
        <f>200+187.03</f>
        <v>387.03</v>
      </c>
      <c r="BY105" s="43"/>
      <c r="BZ105" s="43"/>
      <c r="CA105" s="43">
        <v>5874.26</v>
      </c>
      <c r="CB105" s="43">
        <v>4560.1499999999996</v>
      </c>
      <c r="CC105" s="92">
        <v>6461.69</v>
      </c>
      <c r="CD105" s="92">
        <v>5244.17</v>
      </c>
      <c r="CE105" s="92">
        <v>538</v>
      </c>
      <c r="CF105" s="92">
        <v>437</v>
      </c>
      <c r="CG105" s="92">
        <f t="shared" si="190"/>
        <v>1468.57</v>
      </c>
      <c r="CH105" s="92">
        <f t="shared" si="190"/>
        <v>1140.04</v>
      </c>
      <c r="CI105" s="43"/>
      <c r="CJ105" s="43"/>
      <c r="CK105" s="43">
        <v>1625</v>
      </c>
      <c r="CL105" s="72">
        <f>1337-150</f>
        <v>1187</v>
      </c>
      <c r="CM105" s="72"/>
      <c r="CN105" s="72"/>
      <c r="CO105" s="43">
        <v>6500</v>
      </c>
      <c r="CP105" s="43">
        <v>4500</v>
      </c>
      <c r="CQ105" s="43">
        <f t="shared" si="191"/>
        <v>6500</v>
      </c>
      <c r="CR105" s="43">
        <f t="shared" si="191"/>
        <v>4748</v>
      </c>
      <c r="CS105" s="43">
        <f t="shared" si="192"/>
        <v>6500</v>
      </c>
      <c r="CT105" s="43">
        <f t="shared" si="192"/>
        <v>4500</v>
      </c>
      <c r="CU105" s="43">
        <f t="shared" si="192"/>
        <v>6500</v>
      </c>
      <c r="CV105" s="43">
        <f t="shared" si="192"/>
        <v>4500</v>
      </c>
      <c r="CW105" s="43">
        <f t="shared" si="193"/>
        <v>1625</v>
      </c>
      <c r="CX105" s="43">
        <f t="shared" si="193"/>
        <v>1125</v>
      </c>
      <c r="CY105" s="43"/>
      <c r="CZ105" s="43"/>
      <c r="DA105" s="43">
        <f t="shared" si="194"/>
        <v>3788</v>
      </c>
      <c r="DB105" s="43">
        <f t="shared" si="194"/>
        <v>2749</v>
      </c>
      <c r="DC105" s="43">
        <v>3660.89</v>
      </c>
      <c r="DD105" s="43">
        <v>2309.38</v>
      </c>
      <c r="DE105" s="43">
        <f t="shared" si="195"/>
        <v>127.11000000000013</v>
      </c>
      <c r="DF105" s="43">
        <f t="shared" si="195"/>
        <v>439.61999999999989</v>
      </c>
      <c r="DG105" s="43">
        <f>ROUND(0.25*(MIN(CU105,EW105)),2)</f>
        <v>1625</v>
      </c>
      <c r="DH105" s="43">
        <f>ROUND(0.25*(MIN(CV105,EX105)),2)</f>
        <v>1125</v>
      </c>
      <c r="DI105" s="43">
        <f t="shared" si="196"/>
        <v>1497.8899999999999</v>
      </c>
      <c r="DJ105" s="43">
        <f>+DH105-DF105</f>
        <v>685.38000000000011</v>
      </c>
      <c r="DK105" s="43"/>
      <c r="DL105" s="43"/>
      <c r="DM105" s="43">
        <f t="shared" si="197"/>
        <v>5285.8899999999994</v>
      </c>
      <c r="DN105" s="43">
        <f t="shared" si="197"/>
        <v>3434.38</v>
      </c>
      <c r="DO105" s="94">
        <v>5285.89</v>
      </c>
      <c r="DP105" s="95">
        <v>3434.38</v>
      </c>
      <c r="DQ105" s="60">
        <f t="shared" si="198"/>
        <v>0</v>
      </c>
      <c r="DR105" s="60">
        <f t="shared" si="198"/>
        <v>0</v>
      </c>
      <c r="DS105" s="60">
        <f t="shared" si="199"/>
        <v>528.58900000000006</v>
      </c>
      <c r="DT105" s="60">
        <f t="shared" si="199"/>
        <v>343.43799999999999</v>
      </c>
      <c r="DU105" s="60">
        <f t="shared" si="200"/>
        <v>528.58900000000006</v>
      </c>
      <c r="DV105" s="60">
        <f t="shared" si="200"/>
        <v>343.43799999999999</v>
      </c>
      <c r="DW105" s="60"/>
      <c r="DX105" s="60"/>
      <c r="DY105" s="60">
        <f t="shared" si="214"/>
        <v>528.59</v>
      </c>
      <c r="DZ105" s="60">
        <f t="shared" si="181"/>
        <v>343.44</v>
      </c>
      <c r="EA105" s="60"/>
      <c r="EB105" s="60"/>
      <c r="EC105" s="43">
        <f t="shared" si="201"/>
        <v>5814.48</v>
      </c>
      <c r="ED105" s="43">
        <f t="shared" si="201"/>
        <v>3777.82</v>
      </c>
      <c r="EE105" s="43">
        <v>5814.48</v>
      </c>
      <c r="EF105" s="43">
        <v>3777.82</v>
      </c>
      <c r="EG105" s="43">
        <f t="shared" si="245"/>
        <v>100</v>
      </c>
      <c r="EH105" s="43">
        <f t="shared" si="245"/>
        <v>100</v>
      </c>
      <c r="EI105" s="43">
        <f t="shared" si="202"/>
        <v>0</v>
      </c>
      <c r="EJ105" s="43">
        <f t="shared" si="202"/>
        <v>0</v>
      </c>
      <c r="EK105" s="43">
        <f t="shared" si="203"/>
        <v>528.59</v>
      </c>
      <c r="EL105" s="43">
        <f t="shared" si="203"/>
        <v>343.44</v>
      </c>
      <c r="EM105" s="43">
        <f t="shared" si="204"/>
        <v>528.59</v>
      </c>
      <c r="EN105" s="43">
        <f t="shared" si="204"/>
        <v>343.44</v>
      </c>
      <c r="EO105" s="43">
        <v>750</v>
      </c>
      <c r="EP105" s="43">
        <v>1000</v>
      </c>
      <c r="EQ105" s="5"/>
      <c r="ER105" s="5"/>
      <c r="ES105" s="5"/>
      <c r="ET105" s="5"/>
      <c r="EU105" s="5">
        <f t="shared" si="270"/>
        <v>-64.479999999999563</v>
      </c>
      <c r="EV105" s="5">
        <f t="shared" si="270"/>
        <v>222.17999999999984</v>
      </c>
      <c r="EW105" s="5">
        <v>6500</v>
      </c>
      <c r="EX105" s="5">
        <v>5000</v>
      </c>
      <c r="EY105" s="5">
        <v>7000</v>
      </c>
      <c r="EZ105" s="5">
        <v>5500</v>
      </c>
    </row>
    <row r="106" spans="1:162" ht="18.75" x14ac:dyDescent="0.25">
      <c r="A106" s="37">
        <v>13</v>
      </c>
      <c r="B106" s="37"/>
      <c r="C106" s="91" t="s">
        <v>198</v>
      </c>
      <c r="D106" s="38" t="s">
        <v>270</v>
      </c>
      <c r="E106" s="39"/>
      <c r="F106" s="40">
        <v>1675.5800000000002</v>
      </c>
      <c r="G106" s="40">
        <v>0</v>
      </c>
      <c r="H106" s="40">
        <v>1600.0000000000002</v>
      </c>
      <c r="I106" s="40">
        <v>0</v>
      </c>
      <c r="J106" s="41">
        <v>1550</v>
      </c>
      <c r="K106" s="41">
        <v>0</v>
      </c>
      <c r="L106" s="41">
        <v>0</v>
      </c>
      <c r="M106" s="41">
        <f t="shared" si="246"/>
        <v>1550</v>
      </c>
      <c r="N106" s="41">
        <v>180</v>
      </c>
      <c r="O106" s="41">
        <v>0</v>
      </c>
      <c r="P106" s="41">
        <v>0</v>
      </c>
      <c r="Q106" s="41">
        <f t="shared" si="290"/>
        <v>180</v>
      </c>
      <c r="R106" s="41">
        <f t="shared" si="269"/>
        <v>1730</v>
      </c>
      <c r="S106" s="41">
        <v>0</v>
      </c>
      <c r="T106" s="92"/>
      <c r="U106" s="92"/>
      <c r="V106" s="40">
        <f t="shared" si="291"/>
        <v>1693.28</v>
      </c>
      <c r="W106" s="40">
        <f t="shared" si="292"/>
        <v>0</v>
      </c>
      <c r="X106" s="43">
        <f t="shared" si="170"/>
        <v>36.720000000000027</v>
      </c>
      <c r="Y106" s="43">
        <f t="shared" si="170"/>
        <v>0</v>
      </c>
      <c r="Z106" s="43">
        <v>1538.28</v>
      </c>
      <c r="AA106" s="43">
        <v>155</v>
      </c>
      <c r="AB106" s="43">
        <f t="shared" si="182"/>
        <v>1693.28</v>
      </c>
      <c r="AC106" s="43">
        <f t="shared" si="183"/>
        <v>0</v>
      </c>
      <c r="AD106" s="43">
        <f t="shared" si="293"/>
        <v>1693.28</v>
      </c>
      <c r="AE106" s="43">
        <f t="shared" si="293"/>
        <v>0</v>
      </c>
      <c r="AF106" s="43">
        <f t="shared" si="184"/>
        <v>0</v>
      </c>
      <c r="AG106" s="43">
        <f t="shared" si="171"/>
        <v>423</v>
      </c>
      <c r="AH106" s="43">
        <f t="shared" si="171"/>
        <v>0</v>
      </c>
      <c r="AI106" s="93">
        <f t="shared" si="172"/>
        <v>141</v>
      </c>
      <c r="AJ106" s="43">
        <f t="shared" si="172"/>
        <v>0</v>
      </c>
      <c r="AK106" s="43"/>
      <c r="AL106" s="43"/>
      <c r="AM106" s="43">
        <f t="shared" si="185"/>
        <v>423.32</v>
      </c>
      <c r="AN106" s="43">
        <f t="shared" si="186"/>
        <v>0</v>
      </c>
      <c r="AO106" s="43"/>
      <c r="AP106" s="43"/>
      <c r="AQ106" s="43">
        <f t="shared" si="173"/>
        <v>846.31999999999994</v>
      </c>
      <c r="AR106" s="43">
        <f t="shared" si="173"/>
        <v>0</v>
      </c>
      <c r="AS106" s="43"/>
      <c r="AT106" s="43"/>
      <c r="AU106" s="43">
        <f t="shared" si="260"/>
        <v>423.32</v>
      </c>
      <c r="AV106" s="43">
        <f t="shared" si="257"/>
        <v>0</v>
      </c>
      <c r="AW106" s="43"/>
      <c r="AX106" s="43"/>
      <c r="AY106" s="43">
        <f t="shared" si="166"/>
        <v>1410.6399999999999</v>
      </c>
      <c r="AZ106" s="43">
        <f t="shared" si="166"/>
        <v>0</v>
      </c>
      <c r="BA106" s="43">
        <f t="shared" si="167"/>
        <v>1410.6399999999999</v>
      </c>
      <c r="BB106" s="60">
        <v>1414.14</v>
      </c>
      <c r="BC106" s="60"/>
      <c r="BD106" s="60">
        <f t="shared" si="168"/>
        <v>-3.5000000000002274</v>
      </c>
      <c r="BE106" s="60">
        <f t="shared" si="168"/>
        <v>0</v>
      </c>
      <c r="BF106" s="60">
        <f t="shared" si="169"/>
        <v>282.83</v>
      </c>
      <c r="BG106" s="60">
        <f t="shared" si="169"/>
        <v>0</v>
      </c>
      <c r="BH106" s="43">
        <v>141.18</v>
      </c>
      <c r="BI106" s="43">
        <v>0</v>
      </c>
      <c r="BJ106" s="43"/>
      <c r="BK106" s="43"/>
      <c r="BL106" s="43">
        <f t="shared" si="180"/>
        <v>1551.82</v>
      </c>
      <c r="BM106" s="43">
        <f t="shared" si="180"/>
        <v>0</v>
      </c>
      <c r="BN106" s="43">
        <f t="shared" si="187"/>
        <v>1551.82</v>
      </c>
      <c r="BO106" s="43">
        <v>1414.14</v>
      </c>
      <c r="BP106" s="93"/>
      <c r="BQ106" s="43">
        <f t="shared" si="188"/>
        <v>137.67999999999984</v>
      </c>
      <c r="BR106" s="43">
        <f t="shared" si="188"/>
        <v>0</v>
      </c>
      <c r="BS106" s="43">
        <f t="shared" si="189"/>
        <v>128.56</v>
      </c>
      <c r="BT106" s="43">
        <f t="shared" si="189"/>
        <v>0</v>
      </c>
      <c r="BU106" s="43">
        <v>0</v>
      </c>
      <c r="BV106" s="43">
        <f t="shared" si="268"/>
        <v>0</v>
      </c>
      <c r="BW106" s="43">
        <v>141</v>
      </c>
      <c r="BX106" s="43"/>
      <c r="BY106" s="43"/>
      <c r="BZ106" s="43"/>
      <c r="CA106" s="43">
        <v>1692.82</v>
      </c>
      <c r="CB106" s="43">
        <v>0</v>
      </c>
      <c r="CC106" s="92">
        <v>1862.1</v>
      </c>
      <c r="CD106" s="92">
        <v>0</v>
      </c>
      <c r="CE106" s="92">
        <v>155</v>
      </c>
      <c r="CF106" s="92">
        <v>0</v>
      </c>
      <c r="CG106" s="92">
        <f t="shared" si="190"/>
        <v>423.21</v>
      </c>
      <c r="CH106" s="92">
        <f t="shared" si="190"/>
        <v>0</v>
      </c>
      <c r="CI106" s="43"/>
      <c r="CJ106" s="43"/>
      <c r="CK106" s="43">
        <v>430</v>
      </c>
      <c r="CL106" s="43"/>
      <c r="CM106" s="43"/>
      <c r="CN106" s="43"/>
      <c r="CO106" s="43">
        <v>2140</v>
      </c>
      <c r="CP106" s="43"/>
      <c r="CQ106" s="43">
        <f t="shared" si="191"/>
        <v>1720</v>
      </c>
      <c r="CR106" s="43">
        <f t="shared" si="191"/>
        <v>0</v>
      </c>
      <c r="CS106" s="43">
        <f t="shared" si="192"/>
        <v>1720</v>
      </c>
      <c r="CT106" s="43">
        <f t="shared" si="192"/>
        <v>0</v>
      </c>
      <c r="CU106" s="43">
        <f t="shared" si="192"/>
        <v>1720</v>
      </c>
      <c r="CV106" s="43">
        <f t="shared" si="192"/>
        <v>0</v>
      </c>
      <c r="CW106" s="43">
        <f t="shared" si="193"/>
        <v>430</v>
      </c>
      <c r="CX106" s="43">
        <f t="shared" si="193"/>
        <v>0</v>
      </c>
      <c r="CY106" s="43"/>
      <c r="CZ106" s="43"/>
      <c r="DA106" s="43">
        <f t="shared" si="194"/>
        <v>1015</v>
      </c>
      <c r="DB106" s="43">
        <f t="shared" si="194"/>
        <v>0</v>
      </c>
      <c r="DC106" s="43">
        <v>1015</v>
      </c>
      <c r="DD106" s="43">
        <v>0</v>
      </c>
      <c r="DE106" s="43">
        <f t="shared" si="195"/>
        <v>0</v>
      </c>
      <c r="DF106" s="43">
        <f t="shared" si="195"/>
        <v>0</v>
      </c>
      <c r="DG106" s="43">
        <f>ROUND(0.25*(MIN(CU106,EW106)),2)</f>
        <v>430</v>
      </c>
      <c r="DH106" s="43">
        <f>ROUND(0.25*(MIN(CV106,EX106)),2)</f>
        <v>0</v>
      </c>
      <c r="DI106" s="43">
        <f t="shared" si="196"/>
        <v>430</v>
      </c>
      <c r="DJ106" s="43">
        <f>+DH106-DF106</f>
        <v>0</v>
      </c>
      <c r="DK106" s="43"/>
      <c r="DL106" s="43"/>
      <c r="DM106" s="43">
        <f t="shared" si="197"/>
        <v>1445</v>
      </c>
      <c r="DN106" s="43">
        <f t="shared" si="197"/>
        <v>0</v>
      </c>
      <c r="DO106" s="94">
        <v>1445</v>
      </c>
      <c r="DP106" s="95">
        <v>0</v>
      </c>
      <c r="DQ106" s="60">
        <f t="shared" si="198"/>
        <v>0</v>
      </c>
      <c r="DR106" s="60">
        <f t="shared" si="198"/>
        <v>0</v>
      </c>
      <c r="DS106" s="60">
        <f t="shared" si="199"/>
        <v>144.5</v>
      </c>
      <c r="DT106" s="60">
        <f t="shared" si="199"/>
        <v>0</v>
      </c>
      <c r="DU106" s="60">
        <f t="shared" si="200"/>
        <v>144.5</v>
      </c>
      <c r="DV106" s="60">
        <f t="shared" si="200"/>
        <v>0</v>
      </c>
      <c r="DW106" s="60"/>
      <c r="DX106" s="60"/>
      <c r="DY106" s="60">
        <f t="shared" si="214"/>
        <v>144.5</v>
      </c>
      <c r="DZ106" s="60">
        <f t="shared" si="181"/>
        <v>0</v>
      </c>
      <c r="EA106" s="60"/>
      <c r="EB106" s="60"/>
      <c r="EC106" s="43">
        <f t="shared" si="201"/>
        <v>1589.5</v>
      </c>
      <c r="ED106" s="43">
        <f t="shared" si="201"/>
        <v>0</v>
      </c>
      <c r="EE106" s="43">
        <v>1445</v>
      </c>
      <c r="EF106" s="43">
        <v>0</v>
      </c>
      <c r="EG106" s="43">
        <f t="shared" si="245"/>
        <v>90.91</v>
      </c>
      <c r="EH106" s="43" t="e">
        <f t="shared" si="245"/>
        <v>#DIV/0!</v>
      </c>
      <c r="EI106" s="43">
        <f t="shared" si="202"/>
        <v>144.5</v>
      </c>
      <c r="EJ106" s="43">
        <f t="shared" si="202"/>
        <v>0</v>
      </c>
      <c r="EK106" s="43">
        <f t="shared" si="203"/>
        <v>131.36000000000001</v>
      </c>
      <c r="EL106" s="43">
        <f t="shared" si="203"/>
        <v>0</v>
      </c>
      <c r="EM106" s="43">
        <f t="shared" si="204"/>
        <v>-13.139999999999986</v>
      </c>
      <c r="EN106" s="43">
        <f t="shared" si="204"/>
        <v>0</v>
      </c>
      <c r="EO106" s="43">
        <v>130.5</v>
      </c>
      <c r="EP106" s="43">
        <v>0</v>
      </c>
      <c r="EQ106" s="5"/>
      <c r="ER106" s="5"/>
      <c r="ES106" s="5"/>
      <c r="ET106" s="5"/>
      <c r="EU106" s="5">
        <f t="shared" si="270"/>
        <v>0</v>
      </c>
      <c r="EV106" s="5">
        <f t="shared" si="270"/>
        <v>0</v>
      </c>
      <c r="EW106" s="5">
        <f>1520+200</f>
        <v>1720</v>
      </c>
      <c r="EY106" s="58">
        <f>230+2200</f>
        <v>2430</v>
      </c>
    </row>
    <row r="107" spans="1:162" ht="18.75" x14ac:dyDescent="0.25">
      <c r="A107" s="68"/>
      <c r="B107" s="68" t="s">
        <v>271</v>
      </c>
      <c r="C107" s="91" t="s">
        <v>198</v>
      </c>
      <c r="D107" s="67" t="s">
        <v>269</v>
      </c>
      <c r="E107" s="69" t="s">
        <v>272</v>
      </c>
      <c r="F107" s="70">
        <v>7195.6799999999985</v>
      </c>
      <c r="G107" s="70">
        <v>3447.08</v>
      </c>
      <c r="H107" s="70">
        <v>7120.0999999999985</v>
      </c>
      <c r="I107" s="70">
        <v>3497.08</v>
      </c>
      <c r="J107" s="71">
        <f t="shared" ref="J107:AA107" si="294">+J105+J106</f>
        <v>8450</v>
      </c>
      <c r="K107" s="71">
        <f t="shared" si="294"/>
        <v>0</v>
      </c>
      <c r="L107" s="71">
        <f t="shared" si="294"/>
        <v>0</v>
      </c>
      <c r="M107" s="71">
        <f t="shared" si="294"/>
        <v>8450</v>
      </c>
      <c r="N107" s="71">
        <f t="shared" si="294"/>
        <v>180</v>
      </c>
      <c r="O107" s="71">
        <f t="shared" si="294"/>
        <v>0</v>
      </c>
      <c r="P107" s="71">
        <f t="shared" si="294"/>
        <v>0</v>
      </c>
      <c r="Q107" s="71">
        <f t="shared" si="294"/>
        <v>180</v>
      </c>
      <c r="R107" s="71">
        <f t="shared" si="294"/>
        <v>8630</v>
      </c>
      <c r="S107" s="71">
        <f t="shared" si="294"/>
        <v>4200</v>
      </c>
      <c r="T107" s="71">
        <f t="shared" si="294"/>
        <v>0</v>
      </c>
      <c r="U107" s="71">
        <f t="shared" si="294"/>
        <v>0</v>
      </c>
      <c r="V107" s="71">
        <f t="shared" si="294"/>
        <v>7535.2</v>
      </c>
      <c r="W107" s="71">
        <f t="shared" si="294"/>
        <v>3611.43</v>
      </c>
      <c r="X107" s="71">
        <f t="shared" si="294"/>
        <v>1094.8</v>
      </c>
      <c r="Y107" s="71">
        <f t="shared" si="294"/>
        <v>588.57000000000016</v>
      </c>
      <c r="Z107" s="71">
        <f t="shared" si="294"/>
        <v>7380.2</v>
      </c>
      <c r="AA107" s="71">
        <f t="shared" si="294"/>
        <v>155</v>
      </c>
      <c r="AB107" s="70">
        <f t="shared" si="182"/>
        <v>7535.2</v>
      </c>
      <c r="AC107" s="43">
        <f t="shared" si="183"/>
        <v>0</v>
      </c>
      <c r="AD107" s="70">
        <f t="shared" ref="AD107:CO107" si="295">+AD105+AD106</f>
        <v>7535.2</v>
      </c>
      <c r="AE107" s="70">
        <f t="shared" si="295"/>
        <v>3611.43</v>
      </c>
      <c r="AF107" s="70">
        <f t="shared" si="295"/>
        <v>3789.24</v>
      </c>
      <c r="AG107" s="70">
        <f t="shared" si="295"/>
        <v>1883</v>
      </c>
      <c r="AH107" s="70">
        <f t="shared" si="295"/>
        <v>903</v>
      </c>
      <c r="AI107" s="96">
        <f t="shared" si="295"/>
        <v>628</v>
      </c>
      <c r="AJ107" s="70">
        <f t="shared" si="295"/>
        <v>301</v>
      </c>
      <c r="AK107" s="70">
        <f t="shared" si="295"/>
        <v>0</v>
      </c>
      <c r="AL107" s="70">
        <f t="shared" si="295"/>
        <v>300</v>
      </c>
      <c r="AM107" s="70">
        <f t="shared" si="295"/>
        <v>1883.8</v>
      </c>
      <c r="AN107" s="70">
        <f t="shared" si="295"/>
        <v>879.38</v>
      </c>
      <c r="AO107" s="70">
        <f t="shared" si="295"/>
        <v>0</v>
      </c>
      <c r="AP107" s="70">
        <f t="shared" si="295"/>
        <v>0</v>
      </c>
      <c r="AQ107" s="70">
        <f t="shared" si="295"/>
        <v>3766.8</v>
      </c>
      <c r="AR107" s="70">
        <f t="shared" si="295"/>
        <v>2082.38</v>
      </c>
      <c r="AS107" s="70">
        <f t="shared" si="295"/>
        <v>0</v>
      </c>
      <c r="AT107" s="70">
        <f t="shared" si="295"/>
        <v>0</v>
      </c>
      <c r="AU107" s="70">
        <f t="shared" si="295"/>
        <v>1883.8</v>
      </c>
      <c r="AV107" s="70">
        <f t="shared" si="295"/>
        <v>902.86</v>
      </c>
      <c r="AW107" s="70">
        <f t="shared" si="295"/>
        <v>0</v>
      </c>
      <c r="AX107" s="70">
        <f t="shared" si="295"/>
        <v>0</v>
      </c>
      <c r="AY107" s="70">
        <f t="shared" si="295"/>
        <v>6278.6</v>
      </c>
      <c r="AZ107" s="70">
        <f t="shared" si="295"/>
        <v>3286.2400000000002</v>
      </c>
      <c r="BA107" s="70">
        <f t="shared" si="295"/>
        <v>9564.84</v>
      </c>
      <c r="BB107" s="70">
        <f t="shared" si="295"/>
        <v>6265.9400000000005</v>
      </c>
      <c r="BC107" s="70">
        <f t="shared" si="295"/>
        <v>3308</v>
      </c>
      <c r="BD107" s="70">
        <f t="shared" si="295"/>
        <v>12.659999999999627</v>
      </c>
      <c r="BE107" s="70">
        <f t="shared" si="295"/>
        <v>-21.759999999999764</v>
      </c>
      <c r="BF107" s="70">
        <f t="shared" si="295"/>
        <v>1253.19</v>
      </c>
      <c r="BG107" s="96">
        <f t="shared" si="295"/>
        <v>661.6</v>
      </c>
      <c r="BH107" s="96">
        <f t="shared" si="295"/>
        <v>618.28</v>
      </c>
      <c r="BI107" s="96">
        <f t="shared" si="295"/>
        <v>300</v>
      </c>
      <c r="BJ107" s="96">
        <f t="shared" si="295"/>
        <v>0</v>
      </c>
      <c r="BK107" s="96">
        <f t="shared" si="295"/>
        <v>0</v>
      </c>
      <c r="BL107" s="96">
        <f t="shared" si="295"/>
        <v>6896.88</v>
      </c>
      <c r="BM107" s="96">
        <f t="shared" si="295"/>
        <v>3586.2400000000002</v>
      </c>
      <c r="BN107" s="96">
        <f t="shared" si="295"/>
        <v>10483.120000000001</v>
      </c>
      <c r="BO107" s="96">
        <f t="shared" si="295"/>
        <v>6798.88</v>
      </c>
      <c r="BP107" s="96">
        <f t="shared" si="295"/>
        <v>3825.36</v>
      </c>
      <c r="BQ107" s="70">
        <f t="shared" si="295"/>
        <v>98.000000000000455</v>
      </c>
      <c r="BR107" s="70">
        <f t="shared" si="295"/>
        <v>-239.11999999999989</v>
      </c>
      <c r="BS107" s="70">
        <f t="shared" si="295"/>
        <v>618.07999999999993</v>
      </c>
      <c r="BT107" s="70">
        <f t="shared" si="295"/>
        <v>347.76</v>
      </c>
      <c r="BU107" s="70">
        <f t="shared" si="295"/>
        <v>529.20000000000005</v>
      </c>
      <c r="BV107" s="70">
        <f t="shared" si="295"/>
        <v>586.88</v>
      </c>
      <c r="BW107" s="70">
        <f t="shared" si="295"/>
        <v>141</v>
      </c>
      <c r="BX107" s="70">
        <f t="shared" si="295"/>
        <v>387.03</v>
      </c>
      <c r="BY107" s="70">
        <f t="shared" si="295"/>
        <v>0</v>
      </c>
      <c r="BZ107" s="70">
        <f t="shared" si="295"/>
        <v>0</v>
      </c>
      <c r="CA107" s="70">
        <f t="shared" si="295"/>
        <v>7567.08</v>
      </c>
      <c r="CB107" s="70">
        <f t="shared" si="295"/>
        <v>4560.1499999999996</v>
      </c>
      <c r="CC107" s="70">
        <f t="shared" si="295"/>
        <v>8323.7899999999991</v>
      </c>
      <c r="CD107" s="70">
        <f t="shared" si="295"/>
        <v>5244.17</v>
      </c>
      <c r="CE107" s="70">
        <f t="shared" si="295"/>
        <v>693</v>
      </c>
      <c r="CF107" s="70">
        <f t="shared" si="295"/>
        <v>437</v>
      </c>
      <c r="CG107" s="70">
        <f t="shared" si="295"/>
        <v>1891.78</v>
      </c>
      <c r="CH107" s="96">
        <f t="shared" si="295"/>
        <v>1140.04</v>
      </c>
      <c r="CI107" s="70">
        <f t="shared" si="295"/>
        <v>0</v>
      </c>
      <c r="CJ107" s="70">
        <f t="shared" si="295"/>
        <v>0</v>
      </c>
      <c r="CK107" s="70">
        <f t="shared" si="295"/>
        <v>2055</v>
      </c>
      <c r="CL107" s="70">
        <f t="shared" si="295"/>
        <v>1187</v>
      </c>
      <c r="CM107" s="70">
        <f t="shared" si="295"/>
        <v>0</v>
      </c>
      <c r="CN107" s="70">
        <f t="shared" si="295"/>
        <v>0</v>
      </c>
      <c r="CO107" s="70">
        <f t="shared" si="295"/>
        <v>8640</v>
      </c>
      <c r="CP107" s="70">
        <f t="shared" ref="CP107:FF107" si="296">+CP105+CP106</f>
        <v>4500</v>
      </c>
      <c r="CQ107" s="70">
        <f t="shared" si="296"/>
        <v>8220</v>
      </c>
      <c r="CR107" s="70">
        <f t="shared" si="296"/>
        <v>4748</v>
      </c>
      <c r="CS107" s="70">
        <f t="shared" si="296"/>
        <v>8220</v>
      </c>
      <c r="CT107" s="70">
        <f t="shared" si="296"/>
        <v>4500</v>
      </c>
      <c r="CU107" s="70">
        <f t="shared" si="296"/>
        <v>8220</v>
      </c>
      <c r="CV107" s="70">
        <f t="shared" si="296"/>
        <v>4500</v>
      </c>
      <c r="CW107" s="70">
        <f t="shared" si="296"/>
        <v>2055</v>
      </c>
      <c r="CX107" s="70">
        <f t="shared" si="296"/>
        <v>1125</v>
      </c>
      <c r="CY107" s="70">
        <f t="shared" si="296"/>
        <v>0</v>
      </c>
      <c r="CZ107" s="70">
        <f t="shared" si="296"/>
        <v>0</v>
      </c>
      <c r="DA107" s="70">
        <f t="shared" si="296"/>
        <v>4803</v>
      </c>
      <c r="DB107" s="70">
        <f t="shared" si="296"/>
        <v>2749</v>
      </c>
      <c r="DC107" s="70">
        <f t="shared" si="296"/>
        <v>4675.8899999999994</v>
      </c>
      <c r="DD107" s="70">
        <f t="shared" si="296"/>
        <v>2309.38</v>
      </c>
      <c r="DE107" s="70">
        <f t="shared" si="296"/>
        <v>127.11000000000013</v>
      </c>
      <c r="DF107" s="70">
        <f t="shared" si="296"/>
        <v>439.61999999999989</v>
      </c>
      <c r="DG107" s="70">
        <f t="shared" si="296"/>
        <v>2055</v>
      </c>
      <c r="DH107" s="70">
        <f t="shared" si="296"/>
        <v>1125</v>
      </c>
      <c r="DI107" s="70">
        <f t="shared" si="296"/>
        <v>1927.8899999999999</v>
      </c>
      <c r="DJ107" s="70">
        <f t="shared" si="296"/>
        <v>685.38000000000011</v>
      </c>
      <c r="DK107" s="70">
        <f t="shared" si="296"/>
        <v>0</v>
      </c>
      <c r="DL107" s="70">
        <f t="shared" si="296"/>
        <v>0</v>
      </c>
      <c r="DM107" s="70">
        <f t="shared" si="296"/>
        <v>6730.8899999999994</v>
      </c>
      <c r="DN107" s="70">
        <f t="shared" si="296"/>
        <v>3434.38</v>
      </c>
      <c r="DO107" s="70">
        <f t="shared" si="296"/>
        <v>6730.89</v>
      </c>
      <c r="DP107" s="70">
        <f t="shared" si="296"/>
        <v>3434.38</v>
      </c>
      <c r="DQ107" s="70">
        <f t="shared" si="296"/>
        <v>0</v>
      </c>
      <c r="DR107" s="70">
        <f t="shared" si="296"/>
        <v>0</v>
      </c>
      <c r="DS107" s="70">
        <f t="shared" si="296"/>
        <v>673.08900000000006</v>
      </c>
      <c r="DT107" s="70">
        <f t="shared" si="296"/>
        <v>343.43799999999999</v>
      </c>
      <c r="DU107" s="70">
        <f t="shared" si="296"/>
        <v>673.08900000000006</v>
      </c>
      <c r="DV107" s="70">
        <f t="shared" si="296"/>
        <v>343.43799999999999</v>
      </c>
      <c r="DW107" s="70">
        <f t="shared" si="296"/>
        <v>0</v>
      </c>
      <c r="DX107" s="70">
        <f t="shared" si="296"/>
        <v>0</v>
      </c>
      <c r="DY107" s="70">
        <f t="shared" si="296"/>
        <v>673.09</v>
      </c>
      <c r="DZ107" s="70">
        <f t="shared" si="296"/>
        <v>343.44</v>
      </c>
      <c r="EA107" s="70">
        <f t="shared" si="296"/>
        <v>0</v>
      </c>
      <c r="EB107" s="96">
        <f t="shared" si="296"/>
        <v>0</v>
      </c>
      <c r="EC107" s="70">
        <f t="shared" si="296"/>
        <v>7403.98</v>
      </c>
      <c r="ED107" s="70">
        <f t="shared" si="296"/>
        <v>3777.82</v>
      </c>
      <c r="EE107" s="70">
        <f t="shared" si="296"/>
        <v>7259.48</v>
      </c>
      <c r="EF107" s="70">
        <f t="shared" si="296"/>
        <v>3777.82</v>
      </c>
      <c r="EG107" s="70">
        <f t="shared" si="296"/>
        <v>190.91</v>
      </c>
      <c r="EH107" s="70" t="e">
        <f t="shared" si="296"/>
        <v>#DIV/0!</v>
      </c>
      <c r="EI107" s="70">
        <f t="shared" si="296"/>
        <v>144.5</v>
      </c>
      <c r="EJ107" s="70">
        <f t="shared" si="296"/>
        <v>0</v>
      </c>
      <c r="EK107" s="70">
        <f t="shared" si="296"/>
        <v>659.95</v>
      </c>
      <c r="EL107" s="70">
        <f t="shared" si="296"/>
        <v>343.44</v>
      </c>
      <c r="EM107" s="70">
        <f t="shared" si="296"/>
        <v>515.45000000000005</v>
      </c>
      <c r="EN107" s="70">
        <f t="shared" si="296"/>
        <v>343.44</v>
      </c>
      <c r="EO107" s="70">
        <f t="shared" si="296"/>
        <v>880.5</v>
      </c>
      <c r="EP107" s="70">
        <f t="shared" si="296"/>
        <v>1000</v>
      </c>
      <c r="EQ107" s="66">
        <f t="shared" si="296"/>
        <v>0</v>
      </c>
      <c r="ER107" s="46"/>
      <c r="ES107" s="46">
        <f t="shared" si="296"/>
        <v>0</v>
      </c>
      <c r="ET107" s="46">
        <f t="shared" si="296"/>
        <v>0</v>
      </c>
      <c r="EU107" s="5">
        <f t="shared" si="270"/>
        <v>-64.479999999999563</v>
      </c>
      <c r="EV107" s="5">
        <f t="shared" si="270"/>
        <v>222.17999999999984</v>
      </c>
      <c r="EW107" s="46">
        <f t="shared" si="296"/>
        <v>8220</v>
      </c>
      <c r="EX107" s="46">
        <f t="shared" si="296"/>
        <v>5000</v>
      </c>
      <c r="EY107" s="46">
        <f t="shared" si="296"/>
        <v>9430</v>
      </c>
      <c r="EZ107" s="46">
        <f t="shared" si="296"/>
        <v>5500</v>
      </c>
      <c r="FA107" s="46">
        <f t="shared" si="296"/>
        <v>0</v>
      </c>
      <c r="FB107" s="46">
        <f t="shared" si="296"/>
        <v>0</v>
      </c>
      <c r="FC107" s="46">
        <f t="shared" si="296"/>
        <v>0</v>
      </c>
      <c r="FD107" s="46">
        <f t="shared" si="296"/>
        <v>0</v>
      </c>
      <c r="FE107" s="46">
        <f t="shared" si="296"/>
        <v>0</v>
      </c>
      <c r="FF107" s="46">
        <f t="shared" si="296"/>
        <v>0</v>
      </c>
    </row>
    <row r="108" spans="1:162" ht="18.75" x14ac:dyDescent="0.25">
      <c r="A108" s="37">
        <v>14</v>
      </c>
      <c r="B108" s="37"/>
      <c r="C108" s="91" t="s">
        <v>255</v>
      </c>
      <c r="D108" s="38" t="s">
        <v>273</v>
      </c>
      <c r="E108" s="39"/>
      <c r="F108" s="40">
        <v>1292.2</v>
      </c>
      <c r="G108" s="40">
        <v>148.02000000000004</v>
      </c>
      <c r="H108" s="40">
        <v>1292.2</v>
      </c>
      <c r="I108" s="40">
        <v>148.02000000000004</v>
      </c>
      <c r="J108" s="41">
        <v>1560</v>
      </c>
      <c r="K108" s="41">
        <v>0</v>
      </c>
      <c r="L108" s="41">
        <v>0</v>
      </c>
      <c r="M108" s="41">
        <f t="shared" si="246"/>
        <v>1560</v>
      </c>
      <c r="N108" s="41">
        <v>0</v>
      </c>
      <c r="O108" s="41">
        <v>0</v>
      </c>
      <c r="P108" s="41">
        <v>0</v>
      </c>
      <c r="Q108" s="41">
        <f t="shared" ref="Q108:Q109" si="297">N108+O108+P108</f>
        <v>0</v>
      </c>
      <c r="R108" s="41">
        <f t="shared" si="269"/>
        <v>1560</v>
      </c>
      <c r="S108" s="41">
        <v>175</v>
      </c>
      <c r="T108" s="92"/>
      <c r="U108" s="92"/>
      <c r="V108" s="40">
        <f t="shared" ref="V108:V109" si="298">ROUND(H108*1.0583,2)</f>
        <v>1367.54</v>
      </c>
      <c r="W108" s="40">
        <f t="shared" ref="W108:W109" si="299">ROUND(I108*1.0327,2)</f>
        <v>152.86000000000001</v>
      </c>
      <c r="X108" s="43">
        <f t="shared" si="170"/>
        <v>192.46000000000004</v>
      </c>
      <c r="Y108" s="43">
        <f t="shared" si="170"/>
        <v>22.139999999999986</v>
      </c>
      <c r="Z108" s="43">
        <v>1367.54</v>
      </c>
      <c r="AA108" s="43"/>
      <c r="AB108" s="43">
        <f t="shared" si="182"/>
        <v>1367.54</v>
      </c>
      <c r="AC108" s="43">
        <f t="shared" si="183"/>
        <v>0</v>
      </c>
      <c r="AD108" s="43">
        <f t="shared" ref="AD108:AE109" si="300">IF(X108&gt;0,V108,R108)</f>
        <v>1367.54</v>
      </c>
      <c r="AE108" s="43">
        <f t="shared" si="300"/>
        <v>152.86000000000001</v>
      </c>
      <c r="AF108" s="43">
        <f t="shared" si="184"/>
        <v>157.88999999999999</v>
      </c>
      <c r="AG108" s="43">
        <f t="shared" si="171"/>
        <v>342</v>
      </c>
      <c r="AH108" s="43">
        <f t="shared" si="171"/>
        <v>38</v>
      </c>
      <c r="AI108" s="93">
        <f t="shared" si="172"/>
        <v>114</v>
      </c>
      <c r="AJ108" s="43">
        <f t="shared" si="172"/>
        <v>13</v>
      </c>
      <c r="AK108" s="43"/>
      <c r="AL108" s="43"/>
      <c r="AM108" s="43">
        <f t="shared" si="185"/>
        <v>341.89</v>
      </c>
      <c r="AN108" s="43">
        <f t="shared" si="186"/>
        <v>37.22</v>
      </c>
      <c r="AO108" s="43"/>
      <c r="AP108" s="43"/>
      <c r="AQ108" s="43">
        <f t="shared" si="173"/>
        <v>683.89</v>
      </c>
      <c r="AR108" s="43">
        <f t="shared" si="173"/>
        <v>75.22</v>
      </c>
      <c r="AS108" s="43"/>
      <c r="AT108" s="43"/>
      <c r="AU108" s="43">
        <f t="shared" si="260"/>
        <v>341.89</v>
      </c>
      <c r="AV108" s="43">
        <f t="shared" si="257"/>
        <v>38.22</v>
      </c>
      <c r="AW108" s="43"/>
      <c r="AX108" s="43">
        <v>15</v>
      </c>
      <c r="AY108" s="43">
        <f t="shared" si="166"/>
        <v>1139.78</v>
      </c>
      <c r="AZ108" s="43">
        <f t="shared" si="166"/>
        <v>141.44</v>
      </c>
      <c r="BA108" s="43">
        <f t="shared" si="167"/>
        <v>1281.22</v>
      </c>
      <c r="BB108" s="60">
        <v>1151.7</v>
      </c>
      <c r="BC108" s="60">
        <v>140.96</v>
      </c>
      <c r="BD108" s="60">
        <f t="shared" si="168"/>
        <v>-11.920000000000073</v>
      </c>
      <c r="BE108" s="60">
        <f t="shared" si="168"/>
        <v>0.47999999999998977</v>
      </c>
      <c r="BF108" s="60">
        <f t="shared" si="169"/>
        <v>230.34</v>
      </c>
      <c r="BG108" s="60">
        <f t="shared" si="169"/>
        <v>28.19</v>
      </c>
      <c r="BH108" s="43">
        <v>121.13</v>
      </c>
      <c r="BI108" s="43">
        <v>4.28</v>
      </c>
      <c r="BJ108" s="43">
        <v>25</v>
      </c>
      <c r="BK108" s="43">
        <v>5</v>
      </c>
      <c r="BL108" s="43">
        <f t="shared" si="180"/>
        <v>1285.9099999999999</v>
      </c>
      <c r="BM108" s="43">
        <f t="shared" si="180"/>
        <v>150.72</v>
      </c>
      <c r="BN108" s="43">
        <f t="shared" si="187"/>
        <v>1436.6299999999999</v>
      </c>
      <c r="BO108" s="43">
        <v>1264.53</v>
      </c>
      <c r="BP108" s="93">
        <v>142.66999999999999</v>
      </c>
      <c r="BQ108" s="43">
        <f t="shared" si="188"/>
        <v>21.379999999999882</v>
      </c>
      <c r="BR108" s="43">
        <f t="shared" si="188"/>
        <v>8.0500000000000114</v>
      </c>
      <c r="BS108" s="43">
        <f t="shared" si="189"/>
        <v>114.96</v>
      </c>
      <c r="BT108" s="43">
        <f t="shared" si="189"/>
        <v>12.97</v>
      </c>
      <c r="BU108" s="43">
        <v>106.09</v>
      </c>
      <c r="BV108" s="43">
        <v>4.62</v>
      </c>
      <c r="BW108" s="43"/>
      <c r="BX108" s="43"/>
      <c r="BY108" s="43"/>
      <c r="BZ108" s="43"/>
      <c r="CA108" s="43">
        <v>1391.9999999999998</v>
      </c>
      <c r="CB108" s="43">
        <v>155.34</v>
      </c>
      <c r="CC108" s="92">
        <v>1531.2</v>
      </c>
      <c r="CD108" s="92">
        <v>178.64</v>
      </c>
      <c r="CE108" s="92">
        <v>128</v>
      </c>
      <c r="CF108" s="92">
        <v>15</v>
      </c>
      <c r="CG108" s="92">
        <f t="shared" si="190"/>
        <v>348</v>
      </c>
      <c r="CH108" s="92">
        <f t="shared" si="190"/>
        <v>38.840000000000003</v>
      </c>
      <c r="CI108" s="43"/>
      <c r="CJ108" s="43"/>
      <c r="CK108" s="43">
        <v>420.92</v>
      </c>
      <c r="CL108" s="72">
        <f>170.19-70.19-20</f>
        <v>80</v>
      </c>
      <c r="CM108" s="72"/>
      <c r="CN108" s="72">
        <v>88</v>
      </c>
      <c r="CO108" s="43">
        <v>1525</v>
      </c>
      <c r="CP108" s="43">
        <v>185</v>
      </c>
      <c r="CQ108" s="43">
        <f t="shared" si="191"/>
        <v>1683.68</v>
      </c>
      <c r="CR108" s="43">
        <f t="shared" si="191"/>
        <v>320</v>
      </c>
      <c r="CS108" s="43">
        <f t="shared" si="192"/>
        <v>1525</v>
      </c>
      <c r="CT108" s="43">
        <f t="shared" si="192"/>
        <v>185</v>
      </c>
      <c r="CU108" s="43">
        <f t="shared" si="192"/>
        <v>1525</v>
      </c>
      <c r="CV108" s="43">
        <v>191</v>
      </c>
      <c r="CW108" s="43">
        <f t="shared" si="193"/>
        <v>381.25</v>
      </c>
      <c r="CX108" s="43">
        <v>2</v>
      </c>
      <c r="CY108" s="43"/>
      <c r="CZ108" s="43"/>
      <c r="DA108" s="43">
        <f t="shared" si="194"/>
        <v>930.17000000000007</v>
      </c>
      <c r="DB108" s="43">
        <f t="shared" si="194"/>
        <v>185</v>
      </c>
      <c r="DC108" s="43">
        <v>915.48</v>
      </c>
      <c r="DD108" s="43">
        <v>184.2</v>
      </c>
      <c r="DE108" s="43">
        <f t="shared" si="195"/>
        <v>14.690000000000055</v>
      </c>
      <c r="DF108" s="43">
        <f t="shared" si="195"/>
        <v>0.80000000000001137</v>
      </c>
      <c r="DG108" s="43">
        <f>ROUND(0.25*(MIN(CU108,EW108)),2)</f>
        <v>381.25</v>
      </c>
      <c r="DH108" s="43">
        <f>ROUND(0.25*(MIN(CV108,EX108)),2)</f>
        <v>47.75</v>
      </c>
      <c r="DI108" s="43">
        <f t="shared" si="196"/>
        <v>366.55999999999995</v>
      </c>
      <c r="DJ108" s="43">
        <f>+DH108-DF108-40.95</f>
        <v>5.9999999999999858</v>
      </c>
      <c r="DK108" s="43">
        <v>30</v>
      </c>
      <c r="DL108" s="43"/>
      <c r="DM108" s="43">
        <f t="shared" si="197"/>
        <v>1326.73</v>
      </c>
      <c r="DN108" s="43">
        <f t="shared" si="197"/>
        <v>191</v>
      </c>
      <c r="DO108" s="94">
        <v>1324.18</v>
      </c>
      <c r="DP108" s="95">
        <v>189.47</v>
      </c>
      <c r="DQ108" s="60">
        <f t="shared" si="198"/>
        <v>2.5499999999999998</v>
      </c>
      <c r="DR108" s="60">
        <f t="shared" si="198"/>
        <v>1.53</v>
      </c>
      <c r="DS108" s="60">
        <f t="shared" si="199"/>
        <v>132.41800000000001</v>
      </c>
      <c r="DT108" s="60">
        <f t="shared" si="199"/>
        <v>18.946999999999999</v>
      </c>
      <c r="DU108" s="60">
        <f t="shared" si="200"/>
        <v>129.86799999999999</v>
      </c>
      <c r="DV108" s="60">
        <f t="shared" si="200"/>
        <v>17.416999999999998</v>
      </c>
      <c r="DW108" s="60"/>
      <c r="DX108" s="60"/>
      <c r="DY108" s="60">
        <f t="shared" si="214"/>
        <v>129.87</v>
      </c>
      <c r="DZ108" s="60">
        <f>ROUND(DV108+DX108,2)-17.42</f>
        <v>0</v>
      </c>
      <c r="EA108" s="60"/>
      <c r="EB108" s="60"/>
      <c r="EC108" s="43">
        <f t="shared" si="201"/>
        <v>1456.6</v>
      </c>
      <c r="ED108" s="43">
        <f t="shared" si="201"/>
        <v>191</v>
      </c>
      <c r="EE108" s="43">
        <v>1449.38</v>
      </c>
      <c r="EF108" s="43">
        <v>189.66</v>
      </c>
      <c r="EG108" s="43">
        <f t="shared" si="245"/>
        <v>99.5</v>
      </c>
      <c r="EH108" s="43">
        <f t="shared" si="245"/>
        <v>99.3</v>
      </c>
      <c r="EI108" s="43">
        <f t="shared" si="202"/>
        <v>7.22</v>
      </c>
      <c r="EJ108" s="43">
        <f t="shared" si="202"/>
        <v>1.34</v>
      </c>
      <c r="EK108" s="43">
        <f t="shared" si="203"/>
        <v>131.76</v>
      </c>
      <c r="EL108" s="43">
        <f t="shared" si="203"/>
        <v>17.239999999999998</v>
      </c>
      <c r="EM108" s="43">
        <f t="shared" si="204"/>
        <v>124.53999999999999</v>
      </c>
      <c r="EN108" s="43">
        <f t="shared" si="204"/>
        <v>15.899999999999999</v>
      </c>
      <c r="EO108" s="43">
        <v>117</v>
      </c>
      <c r="EP108" s="43">
        <v>0</v>
      </c>
      <c r="EQ108" s="5"/>
      <c r="ER108" s="5"/>
      <c r="ES108" s="5"/>
      <c r="ET108" s="5"/>
      <c r="EU108" s="5">
        <f t="shared" si="270"/>
        <v>-0.59999999999990905</v>
      </c>
      <c r="EV108" s="5">
        <f t="shared" si="270"/>
        <v>0</v>
      </c>
      <c r="EW108" s="5">
        <v>1573</v>
      </c>
      <c r="EX108" s="5">
        <v>191</v>
      </c>
      <c r="EY108" s="5">
        <v>1810</v>
      </c>
      <c r="EZ108" s="5">
        <v>160</v>
      </c>
    </row>
    <row r="109" spans="1:162" ht="18.75" x14ac:dyDescent="0.25">
      <c r="A109" s="37">
        <v>15</v>
      </c>
      <c r="B109" s="37"/>
      <c r="C109" s="91" t="s">
        <v>255</v>
      </c>
      <c r="D109" s="38" t="s">
        <v>274</v>
      </c>
      <c r="E109" s="39"/>
      <c r="F109" s="40">
        <v>397.04</v>
      </c>
      <c r="G109" s="40">
        <v>0</v>
      </c>
      <c r="H109" s="40">
        <v>397.04</v>
      </c>
      <c r="I109" s="40">
        <v>0</v>
      </c>
      <c r="J109" s="41">
        <v>533.42999999999995</v>
      </c>
      <c r="K109" s="41">
        <v>0</v>
      </c>
      <c r="L109" s="41">
        <v>0</v>
      </c>
      <c r="M109" s="41">
        <f t="shared" si="246"/>
        <v>533.42999999999995</v>
      </c>
      <c r="N109" s="41">
        <v>0</v>
      </c>
      <c r="O109" s="41">
        <v>0</v>
      </c>
      <c r="P109" s="41">
        <v>0</v>
      </c>
      <c r="Q109" s="41">
        <f t="shared" si="297"/>
        <v>0</v>
      </c>
      <c r="R109" s="41">
        <f t="shared" si="269"/>
        <v>533.42999999999995</v>
      </c>
      <c r="S109" s="41">
        <v>0</v>
      </c>
      <c r="T109" s="92"/>
      <c r="U109" s="92"/>
      <c r="V109" s="40">
        <f t="shared" si="298"/>
        <v>420.19</v>
      </c>
      <c r="W109" s="40">
        <f t="shared" si="299"/>
        <v>0</v>
      </c>
      <c r="X109" s="43">
        <f t="shared" si="170"/>
        <v>113.23999999999995</v>
      </c>
      <c r="Y109" s="43">
        <f t="shared" si="170"/>
        <v>0</v>
      </c>
      <c r="Z109" s="43">
        <v>420.19</v>
      </c>
      <c r="AA109" s="43"/>
      <c r="AB109" s="43">
        <f t="shared" si="182"/>
        <v>420.19</v>
      </c>
      <c r="AC109" s="43">
        <f t="shared" si="183"/>
        <v>0</v>
      </c>
      <c r="AD109" s="43">
        <f t="shared" si="300"/>
        <v>420.19</v>
      </c>
      <c r="AE109" s="43">
        <f t="shared" si="300"/>
        <v>0</v>
      </c>
      <c r="AF109" s="43">
        <f t="shared" si="184"/>
        <v>0</v>
      </c>
      <c r="AG109" s="43">
        <f t="shared" si="171"/>
        <v>105</v>
      </c>
      <c r="AH109" s="43">
        <f t="shared" si="171"/>
        <v>0</v>
      </c>
      <c r="AI109" s="93">
        <f t="shared" si="172"/>
        <v>35</v>
      </c>
      <c r="AJ109" s="43">
        <f t="shared" si="172"/>
        <v>0</v>
      </c>
      <c r="AK109" s="43"/>
      <c r="AL109" s="43"/>
      <c r="AM109" s="43">
        <f t="shared" si="185"/>
        <v>105.05</v>
      </c>
      <c r="AN109" s="43">
        <f t="shared" si="186"/>
        <v>0</v>
      </c>
      <c r="AO109" s="43"/>
      <c r="AP109" s="43"/>
      <c r="AQ109" s="43">
        <f t="shared" si="173"/>
        <v>210.05</v>
      </c>
      <c r="AR109" s="43">
        <f t="shared" si="173"/>
        <v>0</v>
      </c>
      <c r="AS109" s="43"/>
      <c r="AT109" s="43"/>
      <c r="AU109" s="43">
        <v>0.14000000000000001</v>
      </c>
      <c r="AV109" s="43">
        <f t="shared" si="257"/>
        <v>0</v>
      </c>
      <c r="AW109" s="43"/>
      <c r="AX109" s="43"/>
      <c r="AY109" s="43">
        <f t="shared" si="166"/>
        <v>245.19</v>
      </c>
      <c r="AZ109" s="43">
        <f t="shared" si="166"/>
        <v>0</v>
      </c>
      <c r="BA109" s="43">
        <f t="shared" si="167"/>
        <v>245.19</v>
      </c>
      <c r="BB109" s="60">
        <v>245.05</v>
      </c>
      <c r="BC109" s="60"/>
      <c r="BD109" s="60">
        <f t="shared" si="168"/>
        <v>0.13999999999998636</v>
      </c>
      <c r="BE109" s="60">
        <f t="shared" si="168"/>
        <v>0</v>
      </c>
      <c r="BF109" s="60">
        <f t="shared" si="169"/>
        <v>49.01</v>
      </c>
      <c r="BG109" s="60">
        <f t="shared" si="169"/>
        <v>0</v>
      </c>
      <c r="BH109" s="43">
        <v>0</v>
      </c>
      <c r="BI109" s="43">
        <v>0</v>
      </c>
      <c r="BJ109" s="43">
        <v>30</v>
      </c>
      <c r="BK109" s="43"/>
      <c r="BL109" s="43">
        <f t="shared" si="180"/>
        <v>275.19</v>
      </c>
      <c r="BM109" s="43">
        <f t="shared" si="180"/>
        <v>0</v>
      </c>
      <c r="BN109" s="43">
        <f t="shared" si="187"/>
        <v>275.19</v>
      </c>
      <c r="BO109" s="43">
        <v>245.05</v>
      </c>
      <c r="BP109" s="93"/>
      <c r="BQ109" s="43">
        <f t="shared" si="188"/>
        <v>30.139999999999986</v>
      </c>
      <c r="BR109" s="43">
        <f t="shared" si="188"/>
        <v>0</v>
      </c>
      <c r="BS109" s="43">
        <f t="shared" si="189"/>
        <v>22.28</v>
      </c>
      <c r="BT109" s="43">
        <f t="shared" si="189"/>
        <v>0</v>
      </c>
      <c r="BU109" s="43">
        <v>0</v>
      </c>
      <c r="BV109" s="43">
        <f>ROUND(BT109-BR109,2)</f>
        <v>0</v>
      </c>
      <c r="BW109" s="43">
        <v>145</v>
      </c>
      <c r="BX109" s="43"/>
      <c r="BY109" s="43"/>
      <c r="BZ109" s="43"/>
      <c r="CA109" s="43">
        <v>420.19</v>
      </c>
      <c r="CB109" s="43">
        <v>0</v>
      </c>
      <c r="CC109" s="92">
        <v>462.21</v>
      </c>
      <c r="CD109" s="92">
        <v>0</v>
      </c>
      <c r="CE109" s="92">
        <v>39</v>
      </c>
      <c r="CF109" s="92">
        <v>0</v>
      </c>
      <c r="CG109" s="92">
        <f t="shared" si="190"/>
        <v>105.05</v>
      </c>
      <c r="CH109" s="92">
        <f t="shared" si="190"/>
        <v>0</v>
      </c>
      <c r="CI109" s="43"/>
      <c r="CJ109" s="43"/>
      <c r="CK109" s="72">
        <f>150-25</f>
        <v>125</v>
      </c>
      <c r="CL109" s="43">
        <v>0</v>
      </c>
      <c r="CM109" s="43"/>
      <c r="CN109" s="43"/>
      <c r="CO109" s="43">
        <v>483.22</v>
      </c>
      <c r="CP109" s="43"/>
      <c r="CQ109" s="43">
        <f t="shared" si="191"/>
        <v>500</v>
      </c>
      <c r="CR109" s="43">
        <f t="shared" si="191"/>
        <v>0</v>
      </c>
      <c r="CS109" s="43">
        <f t="shared" si="192"/>
        <v>483.22</v>
      </c>
      <c r="CT109" s="43">
        <f t="shared" si="192"/>
        <v>0</v>
      </c>
      <c r="CU109" s="43">
        <f t="shared" si="192"/>
        <v>483.22</v>
      </c>
      <c r="CV109" s="43">
        <v>0</v>
      </c>
      <c r="CW109" s="43">
        <f t="shared" si="193"/>
        <v>120.81</v>
      </c>
      <c r="CX109" s="43">
        <f>ROUND(CV109*25%,2)</f>
        <v>0</v>
      </c>
      <c r="CY109" s="43"/>
      <c r="CZ109" s="43"/>
      <c r="DA109" s="43">
        <f t="shared" si="194"/>
        <v>284.81</v>
      </c>
      <c r="DB109" s="43">
        <f t="shared" si="194"/>
        <v>0</v>
      </c>
      <c r="DC109" s="43">
        <v>284.81</v>
      </c>
      <c r="DD109" s="43">
        <v>0</v>
      </c>
      <c r="DE109" s="43">
        <f t="shared" si="195"/>
        <v>0</v>
      </c>
      <c r="DF109" s="43">
        <f t="shared" si="195"/>
        <v>0</v>
      </c>
      <c r="DG109" s="43">
        <f>ROUND(0.25*(MIN(CU109,EW109)),2)</f>
        <v>120.81</v>
      </c>
      <c r="DH109" s="43">
        <f>ROUND(0.25*(MIN(CV109,EX109)),2)</f>
        <v>0</v>
      </c>
      <c r="DI109" s="43">
        <f t="shared" si="196"/>
        <v>120.81</v>
      </c>
      <c r="DJ109" s="43">
        <f>+DH109-DF109</f>
        <v>0</v>
      </c>
      <c r="DK109" s="43"/>
      <c r="DL109" s="43"/>
      <c r="DM109" s="43">
        <f t="shared" si="197"/>
        <v>405.62</v>
      </c>
      <c r="DN109" s="43">
        <f t="shared" si="197"/>
        <v>0</v>
      </c>
      <c r="DO109" s="112">
        <v>405.62</v>
      </c>
      <c r="DP109" s="113">
        <v>0</v>
      </c>
      <c r="DQ109" s="60">
        <f t="shared" si="198"/>
        <v>0</v>
      </c>
      <c r="DR109" s="60">
        <f t="shared" si="198"/>
        <v>0</v>
      </c>
      <c r="DS109" s="60">
        <f t="shared" si="199"/>
        <v>40.561999999999998</v>
      </c>
      <c r="DT109" s="60">
        <f t="shared" si="199"/>
        <v>0</v>
      </c>
      <c r="DU109" s="60">
        <f t="shared" si="200"/>
        <v>40.561999999999998</v>
      </c>
      <c r="DV109" s="60">
        <f t="shared" si="200"/>
        <v>0</v>
      </c>
      <c r="DW109" s="60"/>
      <c r="DX109" s="60"/>
      <c r="DY109" s="60">
        <f t="shared" si="214"/>
        <v>40.56</v>
      </c>
      <c r="DZ109" s="60">
        <f t="shared" si="181"/>
        <v>0</v>
      </c>
      <c r="EA109" s="60"/>
      <c r="EB109" s="60"/>
      <c r="EC109" s="43">
        <f t="shared" si="201"/>
        <v>446.18</v>
      </c>
      <c r="ED109" s="43">
        <f t="shared" si="201"/>
        <v>0</v>
      </c>
      <c r="EE109" s="43">
        <v>446.18</v>
      </c>
      <c r="EF109" s="43"/>
      <c r="EG109" s="43">
        <f t="shared" si="245"/>
        <v>100</v>
      </c>
      <c r="EH109" s="43" t="e">
        <f t="shared" si="245"/>
        <v>#DIV/0!</v>
      </c>
      <c r="EI109" s="43">
        <f t="shared" si="202"/>
        <v>0</v>
      </c>
      <c r="EJ109" s="43">
        <f t="shared" si="202"/>
        <v>0</v>
      </c>
      <c r="EK109" s="43">
        <f t="shared" si="203"/>
        <v>40.56</v>
      </c>
      <c r="EL109" s="43">
        <f t="shared" si="203"/>
        <v>0</v>
      </c>
      <c r="EM109" s="43">
        <f t="shared" si="204"/>
        <v>40.56</v>
      </c>
      <c r="EN109" s="43">
        <f t="shared" si="204"/>
        <v>0</v>
      </c>
      <c r="EO109" s="43">
        <v>140</v>
      </c>
      <c r="EP109" s="43">
        <v>0</v>
      </c>
      <c r="EQ109" s="5"/>
      <c r="ER109" s="5"/>
      <c r="ES109" s="5"/>
      <c r="ET109" s="5"/>
      <c r="EU109" s="5">
        <f t="shared" si="270"/>
        <v>-102.95999999999998</v>
      </c>
      <c r="EV109" s="5">
        <f t="shared" si="270"/>
        <v>0</v>
      </c>
      <c r="EW109" s="5">
        <v>483.22</v>
      </c>
      <c r="EY109" s="5">
        <v>555.70000000000005</v>
      </c>
    </row>
    <row r="110" spans="1:162" ht="18.75" x14ac:dyDescent="0.25">
      <c r="A110" s="68"/>
      <c r="B110" s="68" t="s">
        <v>275</v>
      </c>
      <c r="C110" s="91" t="s">
        <v>255</v>
      </c>
      <c r="D110" s="67" t="s">
        <v>273</v>
      </c>
      <c r="E110" s="69" t="s">
        <v>276</v>
      </c>
      <c r="F110" s="70">
        <v>1689.24</v>
      </c>
      <c r="G110" s="70">
        <v>148.02000000000004</v>
      </c>
      <c r="H110" s="70">
        <v>1689.24</v>
      </c>
      <c r="I110" s="70">
        <v>148.02000000000004</v>
      </c>
      <c r="J110" s="71">
        <f t="shared" ref="J110:AA110" si="301">+J108+J109</f>
        <v>2093.4299999999998</v>
      </c>
      <c r="K110" s="71">
        <f t="shared" si="301"/>
        <v>0</v>
      </c>
      <c r="L110" s="71">
        <f t="shared" si="301"/>
        <v>0</v>
      </c>
      <c r="M110" s="71">
        <f t="shared" si="301"/>
        <v>2093.4299999999998</v>
      </c>
      <c r="N110" s="71">
        <f t="shared" si="301"/>
        <v>0</v>
      </c>
      <c r="O110" s="71">
        <f t="shared" si="301"/>
        <v>0</v>
      </c>
      <c r="P110" s="71">
        <f t="shared" si="301"/>
        <v>0</v>
      </c>
      <c r="Q110" s="71">
        <f t="shared" si="301"/>
        <v>0</v>
      </c>
      <c r="R110" s="71">
        <f t="shared" si="301"/>
        <v>2093.4299999999998</v>
      </c>
      <c r="S110" s="71">
        <f t="shared" si="301"/>
        <v>175</v>
      </c>
      <c r="T110" s="71">
        <f t="shared" si="301"/>
        <v>0</v>
      </c>
      <c r="U110" s="71">
        <f t="shared" si="301"/>
        <v>0</v>
      </c>
      <c r="V110" s="71">
        <f t="shared" si="301"/>
        <v>1787.73</v>
      </c>
      <c r="W110" s="71">
        <f t="shared" si="301"/>
        <v>152.86000000000001</v>
      </c>
      <c r="X110" s="71">
        <f t="shared" si="301"/>
        <v>305.7</v>
      </c>
      <c r="Y110" s="71">
        <f t="shared" si="301"/>
        <v>22.139999999999986</v>
      </c>
      <c r="Z110" s="71">
        <f t="shared" si="301"/>
        <v>1787.73</v>
      </c>
      <c r="AA110" s="71">
        <f t="shared" si="301"/>
        <v>0</v>
      </c>
      <c r="AB110" s="70">
        <f t="shared" si="182"/>
        <v>1787.73</v>
      </c>
      <c r="AC110" s="43">
        <f t="shared" si="183"/>
        <v>0</v>
      </c>
      <c r="AD110" s="70">
        <f t="shared" ref="AD110:CO110" si="302">+AD108+AD109</f>
        <v>1787.73</v>
      </c>
      <c r="AE110" s="70">
        <f t="shared" si="302"/>
        <v>152.86000000000001</v>
      </c>
      <c r="AF110" s="70">
        <f t="shared" si="302"/>
        <v>157.88999999999999</v>
      </c>
      <c r="AG110" s="70">
        <f t="shared" si="302"/>
        <v>447</v>
      </c>
      <c r="AH110" s="70">
        <f t="shared" si="302"/>
        <v>38</v>
      </c>
      <c r="AI110" s="96">
        <f t="shared" si="302"/>
        <v>149</v>
      </c>
      <c r="AJ110" s="70">
        <f t="shared" si="302"/>
        <v>13</v>
      </c>
      <c r="AK110" s="70">
        <f t="shared" si="302"/>
        <v>0</v>
      </c>
      <c r="AL110" s="70">
        <f t="shared" si="302"/>
        <v>0</v>
      </c>
      <c r="AM110" s="70">
        <f t="shared" si="302"/>
        <v>446.94</v>
      </c>
      <c r="AN110" s="70">
        <f t="shared" si="302"/>
        <v>37.22</v>
      </c>
      <c r="AO110" s="70">
        <f t="shared" si="302"/>
        <v>0</v>
      </c>
      <c r="AP110" s="70">
        <f t="shared" si="302"/>
        <v>0</v>
      </c>
      <c r="AQ110" s="70">
        <f t="shared" si="302"/>
        <v>893.94</v>
      </c>
      <c r="AR110" s="70">
        <f t="shared" si="302"/>
        <v>75.22</v>
      </c>
      <c r="AS110" s="70">
        <f t="shared" si="302"/>
        <v>0</v>
      </c>
      <c r="AT110" s="70">
        <f t="shared" si="302"/>
        <v>0</v>
      </c>
      <c r="AU110" s="70">
        <f t="shared" si="302"/>
        <v>342.03</v>
      </c>
      <c r="AV110" s="70">
        <f t="shared" si="302"/>
        <v>38.22</v>
      </c>
      <c r="AW110" s="70">
        <f t="shared" si="302"/>
        <v>0</v>
      </c>
      <c r="AX110" s="70">
        <f t="shared" si="302"/>
        <v>15</v>
      </c>
      <c r="AY110" s="70">
        <f t="shared" si="302"/>
        <v>1384.97</v>
      </c>
      <c r="AZ110" s="70">
        <f t="shared" si="302"/>
        <v>141.44</v>
      </c>
      <c r="BA110" s="70">
        <f t="shared" si="302"/>
        <v>1526.41</v>
      </c>
      <c r="BB110" s="70">
        <f t="shared" si="302"/>
        <v>1396.75</v>
      </c>
      <c r="BC110" s="70">
        <f t="shared" si="302"/>
        <v>140.96</v>
      </c>
      <c r="BD110" s="70">
        <f t="shared" si="302"/>
        <v>-11.780000000000086</v>
      </c>
      <c r="BE110" s="70">
        <f t="shared" si="302"/>
        <v>0.47999999999998977</v>
      </c>
      <c r="BF110" s="70">
        <f t="shared" si="302"/>
        <v>279.35000000000002</v>
      </c>
      <c r="BG110" s="96">
        <f t="shared" si="302"/>
        <v>28.19</v>
      </c>
      <c r="BH110" s="96">
        <f t="shared" si="302"/>
        <v>121.13</v>
      </c>
      <c r="BI110" s="96">
        <f t="shared" si="302"/>
        <v>4.28</v>
      </c>
      <c r="BJ110" s="96">
        <f t="shared" si="302"/>
        <v>55</v>
      </c>
      <c r="BK110" s="96">
        <f t="shared" si="302"/>
        <v>5</v>
      </c>
      <c r="BL110" s="96">
        <f t="shared" si="302"/>
        <v>1561.1</v>
      </c>
      <c r="BM110" s="96">
        <f t="shared" si="302"/>
        <v>150.72</v>
      </c>
      <c r="BN110" s="96">
        <f t="shared" si="302"/>
        <v>1711.82</v>
      </c>
      <c r="BO110" s="96">
        <f t="shared" si="302"/>
        <v>1509.58</v>
      </c>
      <c r="BP110" s="96">
        <f t="shared" si="302"/>
        <v>142.66999999999999</v>
      </c>
      <c r="BQ110" s="70">
        <f t="shared" si="302"/>
        <v>51.519999999999868</v>
      </c>
      <c r="BR110" s="70">
        <f t="shared" si="302"/>
        <v>8.0500000000000114</v>
      </c>
      <c r="BS110" s="70">
        <f t="shared" si="302"/>
        <v>137.24</v>
      </c>
      <c r="BT110" s="70">
        <f t="shared" si="302"/>
        <v>12.97</v>
      </c>
      <c r="BU110" s="70">
        <f t="shared" si="302"/>
        <v>106.09</v>
      </c>
      <c r="BV110" s="70">
        <f t="shared" si="302"/>
        <v>4.62</v>
      </c>
      <c r="BW110" s="70">
        <f t="shared" si="302"/>
        <v>145</v>
      </c>
      <c r="BX110" s="70">
        <f t="shared" si="302"/>
        <v>0</v>
      </c>
      <c r="BY110" s="70">
        <f t="shared" si="302"/>
        <v>0</v>
      </c>
      <c r="BZ110" s="70">
        <f t="shared" si="302"/>
        <v>0</v>
      </c>
      <c r="CA110" s="70">
        <f t="shared" si="302"/>
        <v>1812.1899999999998</v>
      </c>
      <c r="CB110" s="70">
        <f t="shared" si="302"/>
        <v>155.34</v>
      </c>
      <c r="CC110" s="70">
        <f t="shared" si="302"/>
        <v>1993.41</v>
      </c>
      <c r="CD110" s="70">
        <f t="shared" si="302"/>
        <v>178.64</v>
      </c>
      <c r="CE110" s="70">
        <f t="shared" si="302"/>
        <v>167</v>
      </c>
      <c r="CF110" s="70">
        <f t="shared" si="302"/>
        <v>15</v>
      </c>
      <c r="CG110" s="70">
        <f t="shared" si="302"/>
        <v>453.05</v>
      </c>
      <c r="CH110" s="96">
        <f t="shared" si="302"/>
        <v>38.840000000000003</v>
      </c>
      <c r="CI110" s="70">
        <f t="shared" si="302"/>
        <v>0</v>
      </c>
      <c r="CJ110" s="70">
        <f t="shared" si="302"/>
        <v>0</v>
      </c>
      <c r="CK110" s="70">
        <f t="shared" si="302"/>
        <v>545.92000000000007</v>
      </c>
      <c r="CL110" s="70">
        <f t="shared" si="302"/>
        <v>80</v>
      </c>
      <c r="CM110" s="70">
        <f t="shared" si="302"/>
        <v>0</v>
      </c>
      <c r="CN110" s="70">
        <f t="shared" si="302"/>
        <v>88</v>
      </c>
      <c r="CO110" s="70">
        <f t="shared" si="302"/>
        <v>2008.22</v>
      </c>
      <c r="CP110" s="70">
        <f t="shared" ref="CP110:FA110" si="303">+CP108+CP109</f>
        <v>185</v>
      </c>
      <c r="CQ110" s="70">
        <f t="shared" si="303"/>
        <v>2183.6800000000003</v>
      </c>
      <c r="CR110" s="70">
        <f t="shared" si="303"/>
        <v>320</v>
      </c>
      <c r="CS110" s="70">
        <f t="shared" si="303"/>
        <v>2008.22</v>
      </c>
      <c r="CT110" s="70">
        <f t="shared" si="303"/>
        <v>185</v>
      </c>
      <c r="CU110" s="70">
        <f t="shared" si="303"/>
        <v>2008.22</v>
      </c>
      <c r="CV110" s="70">
        <f t="shared" si="303"/>
        <v>191</v>
      </c>
      <c r="CW110" s="70">
        <f t="shared" si="303"/>
        <v>502.06</v>
      </c>
      <c r="CX110" s="70">
        <f t="shared" si="303"/>
        <v>2</v>
      </c>
      <c r="CY110" s="70">
        <f t="shared" si="303"/>
        <v>0</v>
      </c>
      <c r="CZ110" s="70">
        <f t="shared" si="303"/>
        <v>0</v>
      </c>
      <c r="DA110" s="70">
        <f t="shared" si="303"/>
        <v>1214.98</v>
      </c>
      <c r="DB110" s="70">
        <f t="shared" si="303"/>
        <v>185</v>
      </c>
      <c r="DC110" s="70">
        <f t="shared" si="303"/>
        <v>1200.29</v>
      </c>
      <c r="DD110" s="70">
        <f t="shared" si="303"/>
        <v>184.2</v>
      </c>
      <c r="DE110" s="70">
        <f t="shared" si="303"/>
        <v>14.690000000000055</v>
      </c>
      <c r="DF110" s="70">
        <f t="shared" si="303"/>
        <v>0.80000000000001137</v>
      </c>
      <c r="DG110" s="70">
        <f t="shared" si="303"/>
        <v>502.06</v>
      </c>
      <c r="DH110" s="70">
        <f t="shared" si="303"/>
        <v>47.75</v>
      </c>
      <c r="DI110" s="70">
        <f t="shared" si="303"/>
        <v>487.36999999999995</v>
      </c>
      <c r="DJ110" s="70">
        <f t="shared" si="303"/>
        <v>5.9999999999999858</v>
      </c>
      <c r="DK110" s="70">
        <f t="shared" si="303"/>
        <v>30</v>
      </c>
      <c r="DL110" s="70">
        <f t="shared" si="303"/>
        <v>0</v>
      </c>
      <c r="DM110" s="70">
        <f t="shared" si="303"/>
        <v>1732.35</v>
      </c>
      <c r="DN110" s="70">
        <f t="shared" si="303"/>
        <v>191</v>
      </c>
      <c r="DO110" s="70">
        <f t="shared" si="303"/>
        <v>1729.8000000000002</v>
      </c>
      <c r="DP110" s="70">
        <f t="shared" si="303"/>
        <v>189.47</v>
      </c>
      <c r="DQ110" s="70">
        <f t="shared" si="303"/>
        <v>2.5499999999999998</v>
      </c>
      <c r="DR110" s="70">
        <f t="shared" si="303"/>
        <v>1.53</v>
      </c>
      <c r="DS110" s="70">
        <f t="shared" si="303"/>
        <v>172.98000000000002</v>
      </c>
      <c r="DT110" s="70">
        <f t="shared" si="303"/>
        <v>18.946999999999999</v>
      </c>
      <c r="DU110" s="70">
        <f t="shared" si="303"/>
        <v>170.43</v>
      </c>
      <c r="DV110" s="70">
        <f t="shared" si="303"/>
        <v>17.416999999999998</v>
      </c>
      <c r="DW110" s="70">
        <f t="shared" si="303"/>
        <v>0</v>
      </c>
      <c r="DX110" s="70">
        <f t="shared" si="303"/>
        <v>0</v>
      </c>
      <c r="DY110" s="70">
        <f t="shared" si="303"/>
        <v>170.43</v>
      </c>
      <c r="DZ110" s="70">
        <f t="shared" si="303"/>
        <v>0</v>
      </c>
      <c r="EA110" s="70">
        <f t="shared" si="303"/>
        <v>0</v>
      </c>
      <c r="EB110" s="96">
        <f t="shared" si="303"/>
        <v>0</v>
      </c>
      <c r="EC110" s="70">
        <f t="shared" si="303"/>
        <v>1902.78</v>
      </c>
      <c r="ED110" s="70">
        <f t="shared" si="303"/>
        <v>191</v>
      </c>
      <c r="EE110" s="70">
        <f t="shared" si="303"/>
        <v>1895.5600000000002</v>
      </c>
      <c r="EF110" s="70">
        <f t="shared" si="303"/>
        <v>189.66</v>
      </c>
      <c r="EG110" s="70">
        <f t="shared" si="303"/>
        <v>199.5</v>
      </c>
      <c r="EH110" s="70" t="e">
        <f t="shared" si="303"/>
        <v>#DIV/0!</v>
      </c>
      <c r="EI110" s="70">
        <f t="shared" si="303"/>
        <v>7.22</v>
      </c>
      <c r="EJ110" s="70">
        <f t="shared" si="303"/>
        <v>1.34</v>
      </c>
      <c r="EK110" s="70">
        <f t="shared" si="303"/>
        <v>172.32</v>
      </c>
      <c r="EL110" s="70">
        <f t="shared" si="303"/>
        <v>17.239999999999998</v>
      </c>
      <c r="EM110" s="70">
        <f t="shared" si="303"/>
        <v>165.1</v>
      </c>
      <c r="EN110" s="70">
        <f t="shared" si="303"/>
        <v>15.899999999999999</v>
      </c>
      <c r="EO110" s="70">
        <f t="shared" si="303"/>
        <v>257</v>
      </c>
      <c r="EP110" s="70">
        <f t="shared" si="303"/>
        <v>0</v>
      </c>
      <c r="EQ110" s="66">
        <f t="shared" si="303"/>
        <v>0</v>
      </c>
      <c r="ER110" s="46"/>
      <c r="ES110" s="46">
        <f t="shared" si="303"/>
        <v>0</v>
      </c>
      <c r="ET110" s="46">
        <f t="shared" si="303"/>
        <v>0</v>
      </c>
      <c r="EU110" s="5">
        <f t="shared" si="270"/>
        <v>-103.55999999999972</v>
      </c>
      <c r="EV110" s="5">
        <f t="shared" si="270"/>
        <v>0</v>
      </c>
      <c r="EW110" s="46">
        <f t="shared" si="303"/>
        <v>2056.2200000000003</v>
      </c>
      <c r="EX110" s="46">
        <f t="shared" si="303"/>
        <v>191</v>
      </c>
      <c r="EY110" s="46">
        <f t="shared" si="303"/>
        <v>2365.6999999999998</v>
      </c>
      <c r="EZ110" s="46">
        <f t="shared" si="303"/>
        <v>160</v>
      </c>
      <c r="FA110" s="46">
        <f t="shared" si="303"/>
        <v>0</v>
      </c>
    </row>
    <row r="111" spans="1:162" ht="18.75" x14ac:dyDescent="0.25">
      <c r="A111" s="37">
        <v>16</v>
      </c>
      <c r="B111" s="37"/>
      <c r="C111" s="91" t="s">
        <v>136</v>
      </c>
      <c r="D111" s="38" t="s">
        <v>277</v>
      </c>
      <c r="E111" s="39"/>
      <c r="F111" s="40">
        <v>1552.54</v>
      </c>
      <c r="G111" s="40">
        <v>268.20999999999998</v>
      </c>
      <c r="H111" s="40">
        <v>1552.54</v>
      </c>
      <c r="I111" s="40">
        <v>268.20999999999998</v>
      </c>
      <c r="J111" s="41">
        <v>1800</v>
      </c>
      <c r="K111" s="41">
        <v>0</v>
      </c>
      <c r="L111" s="41">
        <v>0</v>
      </c>
      <c r="M111" s="41">
        <f t="shared" si="246"/>
        <v>1800</v>
      </c>
      <c r="N111" s="41">
        <v>0</v>
      </c>
      <c r="O111" s="41">
        <v>0</v>
      </c>
      <c r="P111" s="41">
        <v>0</v>
      </c>
      <c r="Q111" s="41">
        <f t="shared" ref="Q111:Q112" si="304">N111+O111+P111</f>
        <v>0</v>
      </c>
      <c r="R111" s="41">
        <f t="shared" si="269"/>
        <v>1800</v>
      </c>
      <c r="S111" s="41">
        <v>250</v>
      </c>
      <c r="T111" s="92"/>
      <c r="U111" s="92"/>
      <c r="V111" s="40">
        <f t="shared" ref="V111:V112" si="305">ROUND(H111*1.0583,2)</f>
        <v>1643.05</v>
      </c>
      <c r="W111" s="40">
        <f t="shared" ref="W111:W112" si="306">ROUND(I111*1.0327,2)</f>
        <v>276.98</v>
      </c>
      <c r="X111" s="43">
        <f t="shared" si="170"/>
        <v>156.95000000000005</v>
      </c>
      <c r="Y111" s="43">
        <f t="shared" si="170"/>
        <v>-26.980000000000018</v>
      </c>
      <c r="Z111" s="43">
        <v>1643.05</v>
      </c>
      <c r="AA111" s="43"/>
      <c r="AB111" s="43">
        <f t="shared" si="182"/>
        <v>1643.05</v>
      </c>
      <c r="AC111" s="43">
        <f t="shared" si="183"/>
        <v>0</v>
      </c>
      <c r="AD111" s="43">
        <f t="shared" ref="AD111:AE112" si="307">IF(X111&gt;0,V111,R111)</f>
        <v>1643.05</v>
      </c>
      <c r="AE111" s="43">
        <f t="shared" si="307"/>
        <v>250</v>
      </c>
      <c r="AF111" s="43">
        <f t="shared" si="184"/>
        <v>225.55</v>
      </c>
      <c r="AG111" s="43">
        <f t="shared" si="171"/>
        <v>411</v>
      </c>
      <c r="AH111" s="43">
        <f t="shared" si="171"/>
        <v>63</v>
      </c>
      <c r="AI111" s="93">
        <f t="shared" si="172"/>
        <v>137</v>
      </c>
      <c r="AJ111" s="43">
        <f t="shared" si="172"/>
        <v>21</v>
      </c>
      <c r="AK111" s="43"/>
      <c r="AL111" s="43"/>
      <c r="AM111" s="43">
        <f t="shared" si="185"/>
        <v>410.76</v>
      </c>
      <c r="AN111" s="43">
        <f t="shared" si="186"/>
        <v>60.88</v>
      </c>
      <c r="AO111" s="43"/>
      <c r="AP111" s="43"/>
      <c r="AQ111" s="43">
        <f t="shared" si="173"/>
        <v>821.76</v>
      </c>
      <c r="AR111" s="43">
        <f t="shared" si="173"/>
        <v>123.88</v>
      </c>
      <c r="AS111" s="43"/>
      <c r="AT111" s="43"/>
      <c r="AU111" s="43">
        <f t="shared" si="260"/>
        <v>410.76</v>
      </c>
      <c r="AV111" s="43">
        <f t="shared" si="257"/>
        <v>62.5</v>
      </c>
      <c r="AW111" s="43"/>
      <c r="AX111" s="43"/>
      <c r="AY111" s="43">
        <f t="shared" si="166"/>
        <v>1369.52</v>
      </c>
      <c r="AZ111" s="43">
        <f t="shared" si="166"/>
        <v>207.38</v>
      </c>
      <c r="BA111" s="43">
        <f t="shared" si="167"/>
        <v>1576.9</v>
      </c>
      <c r="BB111" s="60">
        <v>1261.79</v>
      </c>
      <c r="BC111" s="60">
        <v>185.37</v>
      </c>
      <c r="BD111" s="60">
        <f t="shared" si="168"/>
        <v>107.73000000000002</v>
      </c>
      <c r="BE111" s="60">
        <f t="shared" si="168"/>
        <v>22.009999999999991</v>
      </c>
      <c r="BF111" s="60">
        <f t="shared" si="169"/>
        <v>252.36</v>
      </c>
      <c r="BG111" s="60">
        <f t="shared" si="169"/>
        <v>37.07</v>
      </c>
      <c r="BH111" s="43">
        <v>72.319999999999993</v>
      </c>
      <c r="BI111" s="43">
        <v>7.53</v>
      </c>
      <c r="BJ111" s="43"/>
      <c r="BK111" s="43"/>
      <c r="BL111" s="43">
        <f t="shared" si="180"/>
        <v>1441.84</v>
      </c>
      <c r="BM111" s="43">
        <f t="shared" si="180"/>
        <v>214.91</v>
      </c>
      <c r="BN111" s="43">
        <f t="shared" si="187"/>
        <v>1656.75</v>
      </c>
      <c r="BO111" s="43">
        <v>1399.61</v>
      </c>
      <c r="BP111" s="93">
        <v>208.15</v>
      </c>
      <c r="BQ111" s="43">
        <f t="shared" si="188"/>
        <v>42.230000000000018</v>
      </c>
      <c r="BR111" s="43">
        <f t="shared" si="188"/>
        <v>6.7599999999999909</v>
      </c>
      <c r="BS111" s="43">
        <f t="shared" si="189"/>
        <v>127.24</v>
      </c>
      <c r="BT111" s="43">
        <f t="shared" si="189"/>
        <v>18.920000000000002</v>
      </c>
      <c r="BU111" s="43">
        <f t="shared" si="212"/>
        <v>85.009999999999977</v>
      </c>
      <c r="BV111" s="43">
        <v>57.09</v>
      </c>
      <c r="BW111" s="43">
        <v>31.6</v>
      </c>
      <c r="BX111" s="43">
        <v>10.64</v>
      </c>
      <c r="BY111" s="43"/>
      <c r="BZ111" s="43"/>
      <c r="CA111" s="43">
        <v>1558.4499999999998</v>
      </c>
      <c r="CB111" s="43">
        <v>282.64</v>
      </c>
      <c r="CC111" s="92">
        <v>1714.3</v>
      </c>
      <c r="CD111" s="92">
        <v>325.04000000000002</v>
      </c>
      <c r="CE111" s="92">
        <v>143</v>
      </c>
      <c r="CF111" s="92">
        <v>27</v>
      </c>
      <c r="CG111" s="92">
        <f t="shared" si="190"/>
        <v>389.61</v>
      </c>
      <c r="CH111" s="92">
        <f t="shared" si="190"/>
        <v>70.66</v>
      </c>
      <c r="CI111" s="43"/>
      <c r="CJ111" s="43"/>
      <c r="CK111" s="43">
        <v>435</v>
      </c>
      <c r="CL111" s="43">
        <v>21</v>
      </c>
      <c r="CM111" s="43"/>
      <c r="CN111" s="43"/>
      <c r="CO111" s="43">
        <v>1770</v>
      </c>
      <c r="CP111" s="43">
        <v>250</v>
      </c>
      <c r="CQ111" s="43">
        <f t="shared" si="191"/>
        <v>1740</v>
      </c>
      <c r="CR111" s="43">
        <f t="shared" si="191"/>
        <v>84</v>
      </c>
      <c r="CS111" s="43">
        <f t="shared" si="192"/>
        <v>1740</v>
      </c>
      <c r="CT111" s="43">
        <f t="shared" si="192"/>
        <v>84</v>
      </c>
      <c r="CU111" s="43">
        <v>1925</v>
      </c>
      <c r="CV111" s="43">
        <v>297</v>
      </c>
      <c r="CW111" s="43">
        <f>ROUND(CU111*25%,2)+53.75</f>
        <v>535</v>
      </c>
      <c r="CX111" s="43">
        <v>128.5</v>
      </c>
      <c r="CY111" s="43"/>
      <c r="CZ111" s="43"/>
      <c r="DA111" s="43">
        <f t="shared" si="194"/>
        <v>1113</v>
      </c>
      <c r="DB111" s="43">
        <f t="shared" si="194"/>
        <v>176.5</v>
      </c>
      <c r="DC111" s="43">
        <v>1113</v>
      </c>
      <c r="DD111" s="43">
        <v>37.75</v>
      </c>
      <c r="DE111" s="43">
        <f t="shared" si="195"/>
        <v>0</v>
      </c>
      <c r="DF111" s="43">
        <f t="shared" si="195"/>
        <v>138.75</v>
      </c>
      <c r="DG111" s="43">
        <f>ROUND(0.25*(MIN(CU111,EW111)),2)</f>
        <v>481.25</v>
      </c>
      <c r="DH111" s="43">
        <f>ROUND(0.25*(MIN(CV111,EX111)),2)</f>
        <v>73.599999999999994</v>
      </c>
      <c r="DI111" s="43">
        <f>+DG111-DE111+18.75</f>
        <v>500</v>
      </c>
      <c r="DJ111" s="43">
        <f>+DH111-DF111+65.15+10</f>
        <v>10</v>
      </c>
      <c r="DK111" s="43"/>
      <c r="DL111" s="43"/>
      <c r="DM111" s="43">
        <f t="shared" si="197"/>
        <v>1613</v>
      </c>
      <c r="DN111" s="43">
        <f t="shared" si="197"/>
        <v>186.5</v>
      </c>
      <c r="DO111" s="94">
        <v>1451.36</v>
      </c>
      <c r="DP111" s="114">
        <v>181.02</v>
      </c>
      <c r="DQ111" s="60">
        <f t="shared" si="198"/>
        <v>161.63999999999999</v>
      </c>
      <c r="DR111" s="60">
        <f t="shared" si="198"/>
        <v>5.48</v>
      </c>
      <c r="DS111" s="60">
        <f t="shared" si="199"/>
        <v>145.136</v>
      </c>
      <c r="DT111" s="60">
        <f t="shared" si="199"/>
        <v>18.102</v>
      </c>
      <c r="DU111" s="60">
        <f t="shared" si="200"/>
        <v>-16.503999999999991</v>
      </c>
      <c r="DV111" s="60">
        <f t="shared" si="200"/>
        <v>12.622</v>
      </c>
      <c r="DW111" s="60"/>
      <c r="DX111" s="60"/>
      <c r="DY111" s="60">
        <v>0</v>
      </c>
      <c r="DZ111" s="60">
        <v>35</v>
      </c>
      <c r="EA111" s="60"/>
      <c r="EB111" s="60"/>
      <c r="EC111" s="43">
        <f t="shared" si="201"/>
        <v>1613</v>
      </c>
      <c r="ED111" s="43">
        <f t="shared" si="201"/>
        <v>221.5</v>
      </c>
      <c r="EE111" s="43">
        <v>1598.51</v>
      </c>
      <c r="EF111" s="43">
        <v>181.02</v>
      </c>
      <c r="EG111" s="43">
        <f t="shared" si="245"/>
        <v>99.1</v>
      </c>
      <c r="EH111" s="43">
        <f t="shared" si="245"/>
        <v>81.72</v>
      </c>
      <c r="EI111" s="43">
        <f t="shared" si="202"/>
        <v>14.49</v>
      </c>
      <c r="EJ111" s="43">
        <f t="shared" si="202"/>
        <v>40.479999999999997</v>
      </c>
      <c r="EK111" s="43">
        <f t="shared" si="203"/>
        <v>145.32</v>
      </c>
      <c r="EL111" s="43">
        <f t="shared" si="203"/>
        <v>16.46</v>
      </c>
      <c r="EM111" s="43">
        <f t="shared" si="204"/>
        <v>130.82999999999998</v>
      </c>
      <c r="EN111" s="43">
        <f t="shared" si="204"/>
        <v>-24.019999999999996</v>
      </c>
      <c r="EO111" s="43">
        <v>185</v>
      </c>
      <c r="EP111" s="43">
        <v>10</v>
      </c>
      <c r="EQ111" s="5"/>
      <c r="ER111" s="5"/>
      <c r="ES111" s="48">
        <v>180</v>
      </c>
      <c r="ET111" s="48">
        <v>66.25</v>
      </c>
      <c r="EU111" s="5">
        <f t="shared" si="270"/>
        <v>132</v>
      </c>
      <c r="EV111" s="5">
        <f t="shared" si="270"/>
        <v>62.879999999999995</v>
      </c>
      <c r="EW111" s="5">
        <v>1930</v>
      </c>
      <c r="EX111" s="5">
        <v>294.38</v>
      </c>
      <c r="EY111" s="5">
        <v>2100</v>
      </c>
      <c r="EZ111" s="5">
        <v>100</v>
      </c>
    </row>
    <row r="112" spans="1:162" ht="18.75" x14ac:dyDescent="0.25">
      <c r="A112" s="37">
        <v>17</v>
      </c>
      <c r="B112" s="37"/>
      <c r="C112" s="91" t="s">
        <v>136</v>
      </c>
      <c r="D112" s="38" t="s">
        <v>278</v>
      </c>
      <c r="E112" s="39"/>
      <c r="F112" s="40">
        <v>1653.5699999999997</v>
      </c>
      <c r="G112" s="40">
        <v>0</v>
      </c>
      <c r="H112" s="40">
        <v>1653.5699999999997</v>
      </c>
      <c r="I112" s="40">
        <v>0</v>
      </c>
      <c r="J112" s="41">
        <v>1997.5</v>
      </c>
      <c r="K112" s="41">
        <v>0</v>
      </c>
      <c r="L112" s="41">
        <v>0</v>
      </c>
      <c r="M112" s="41">
        <f t="shared" si="246"/>
        <v>1997.5</v>
      </c>
      <c r="N112" s="41">
        <v>142.5</v>
      </c>
      <c r="O112" s="41">
        <v>0</v>
      </c>
      <c r="P112" s="41">
        <v>0</v>
      </c>
      <c r="Q112" s="41">
        <f t="shared" si="304"/>
        <v>142.5</v>
      </c>
      <c r="R112" s="41">
        <f t="shared" si="269"/>
        <v>2140</v>
      </c>
      <c r="S112" s="41">
        <v>0</v>
      </c>
      <c r="T112" s="92"/>
      <c r="U112" s="92"/>
      <c r="V112" s="40">
        <f t="shared" si="305"/>
        <v>1749.97</v>
      </c>
      <c r="W112" s="40">
        <f t="shared" si="306"/>
        <v>0</v>
      </c>
      <c r="X112" s="43">
        <f t="shared" si="170"/>
        <v>390.03</v>
      </c>
      <c r="Y112" s="43">
        <f t="shared" si="170"/>
        <v>0</v>
      </c>
      <c r="Z112" s="43">
        <v>1664.97</v>
      </c>
      <c r="AA112" s="43">
        <v>85</v>
      </c>
      <c r="AB112" s="43">
        <f t="shared" si="182"/>
        <v>1749.97</v>
      </c>
      <c r="AC112" s="43">
        <f t="shared" si="183"/>
        <v>0</v>
      </c>
      <c r="AD112" s="43">
        <f t="shared" si="307"/>
        <v>1749.97</v>
      </c>
      <c r="AE112" s="43">
        <f t="shared" si="307"/>
        <v>0</v>
      </c>
      <c r="AF112" s="43">
        <f t="shared" si="184"/>
        <v>0</v>
      </c>
      <c r="AG112" s="43">
        <f t="shared" si="171"/>
        <v>437</v>
      </c>
      <c r="AH112" s="43">
        <f t="shared" si="171"/>
        <v>0</v>
      </c>
      <c r="AI112" s="93">
        <f t="shared" si="172"/>
        <v>146</v>
      </c>
      <c r="AJ112" s="43">
        <f t="shared" si="172"/>
        <v>0</v>
      </c>
      <c r="AK112" s="43"/>
      <c r="AL112" s="43"/>
      <c r="AM112" s="43">
        <f t="shared" si="185"/>
        <v>437.49</v>
      </c>
      <c r="AN112" s="43">
        <f t="shared" si="186"/>
        <v>0</v>
      </c>
      <c r="AO112" s="43"/>
      <c r="AP112" s="43"/>
      <c r="AQ112" s="43">
        <f t="shared" si="173"/>
        <v>874.49</v>
      </c>
      <c r="AR112" s="43">
        <f t="shared" si="173"/>
        <v>0</v>
      </c>
      <c r="AS112" s="43"/>
      <c r="AT112" s="43"/>
      <c r="AU112" s="43">
        <f t="shared" si="260"/>
        <v>437.49</v>
      </c>
      <c r="AV112" s="43">
        <f t="shared" si="257"/>
        <v>0</v>
      </c>
      <c r="AW112" s="43"/>
      <c r="AX112" s="43"/>
      <c r="AY112" s="43">
        <f t="shared" si="166"/>
        <v>1457.98</v>
      </c>
      <c r="AZ112" s="43">
        <f t="shared" si="166"/>
        <v>0</v>
      </c>
      <c r="BA112" s="43">
        <f t="shared" si="167"/>
        <v>1457.98</v>
      </c>
      <c r="BB112" s="60">
        <v>833.5</v>
      </c>
      <c r="BC112" s="60"/>
      <c r="BD112" s="60">
        <f t="shared" si="168"/>
        <v>624.48</v>
      </c>
      <c r="BE112" s="60">
        <f t="shared" si="168"/>
        <v>0</v>
      </c>
      <c r="BF112" s="60">
        <f t="shared" si="169"/>
        <v>166.7</v>
      </c>
      <c r="BG112" s="60">
        <f t="shared" si="169"/>
        <v>0</v>
      </c>
      <c r="BH112" s="43">
        <v>0</v>
      </c>
      <c r="BI112" s="43">
        <v>0</v>
      </c>
      <c r="BJ112" s="43"/>
      <c r="BK112" s="43"/>
      <c r="BL112" s="43">
        <f t="shared" si="180"/>
        <v>1457.98</v>
      </c>
      <c r="BM112" s="43">
        <f t="shared" si="180"/>
        <v>0</v>
      </c>
      <c r="BN112" s="43">
        <f t="shared" si="187"/>
        <v>1457.98</v>
      </c>
      <c r="BO112" s="43">
        <v>1270.49</v>
      </c>
      <c r="BP112" s="93"/>
      <c r="BQ112" s="43">
        <f t="shared" si="188"/>
        <v>187.49</v>
      </c>
      <c r="BR112" s="43">
        <f t="shared" si="188"/>
        <v>0</v>
      </c>
      <c r="BS112" s="43">
        <f t="shared" si="189"/>
        <v>115.5</v>
      </c>
      <c r="BT112" s="43">
        <f t="shared" si="189"/>
        <v>0</v>
      </c>
      <c r="BU112" s="43">
        <v>0</v>
      </c>
      <c r="BV112" s="43">
        <f>ROUND(BT112-BR112,2)</f>
        <v>0</v>
      </c>
      <c r="BW112" s="43"/>
      <c r="BX112" s="43"/>
      <c r="BY112" s="43"/>
      <c r="BZ112" s="43"/>
      <c r="CA112" s="43">
        <v>1457.98</v>
      </c>
      <c r="CB112" s="43">
        <v>0</v>
      </c>
      <c r="CC112" s="92">
        <v>1603.78</v>
      </c>
      <c r="CD112" s="92">
        <v>0</v>
      </c>
      <c r="CE112" s="92">
        <v>134</v>
      </c>
      <c r="CF112" s="92">
        <v>0</v>
      </c>
      <c r="CG112" s="92">
        <f t="shared" si="190"/>
        <v>364.5</v>
      </c>
      <c r="CH112" s="92">
        <f t="shared" si="190"/>
        <v>0</v>
      </c>
      <c r="CI112" s="43"/>
      <c r="CJ112" s="43"/>
      <c r="CK112" s="72">
        <f>435-35</f>
        <v>400</v>
      </c>
      <c r="CL112" s="43">
        <v>0</v>
      </c>
      <c r="CM112" s="43"/>
      <c r="CN112" s="43"/>
      <c r="CO112" s="43">
        <v>2427.56</v>
      </c>
      <c r="CP112" s="43"/>
      <c r="CQ112" s="43">
        <f t="shared" si="191"/>
        <v>1600</v>
      </c>
      <c r="CR112" s="43">
        <f t="shared" si="191"/>
        <v>0</v>
      </c>
      <c r="CS112" s="43">
        <f t="shared" si="192"/>
        <v>1600</v>
      </c>
      <c r="CT112" s="43">
        <f t="shared" si="192"/>
        <v>0</v>
      </c>
      <c r="CU112" s="43">
        <v>1600</v>
      </c>
      <c r="CV112" s="43">
        <v>0</v>
      </c>
      <c r="CW112" s="43">
        <f>ROUND(CU112*25%,2)-400</f>
        <v>0</v>
      </c>
      <c r="CX112" s="43">
        <f>ROUND(CV112*25%,2)</f>
        <v>0</v>
      </c>
      <c r="CY112" s="43"/>
      <c r="CZ112" s="43"/>
      <c r="DA112" s="43">
        <f t="shared" si="194"/>
        <v>534</v>
      </c>
      <c r="DB112" s="43">
        <f t="shared" si="194"/>
        <v>0</v>
      </c>
      <c r="DC112" s="43">
        <v>534</v>
      </c>
      <c r="DD112" s="43">
        <v>0</v>
      </c>
      <c r="DE112" s="43">
        <f t="shared" si="195"/>
        <v>0</v>
      </c>
      <c r="DF112" s="43">
        <f t="shared" si="195"/>
        <v>0</v>
      </c>
      <c r="DG112" s="43">
        <f>ROUND(0.25*(MIN(CU112,EW112)),2)</f>
        <v>400</v>
      </c>
      <c r="DH112" s="43">
        <f>ROUND(0.25*(MIN(CV112,EX112)),2)</f>
        <v>0</v>
      </c>
      <c r="DI112" s="43">
        <f>+DG112-DE112-100</f>
        <v>300</v>
      </c>
      <c r="DJ112" s="43">
        <f>+DH112-DF112</f>
        <v>0</v>
      </c>
      <c r="DK112" s="43"/>
      <c r="DL112" s="43"/>
      <c r="DM112" s="43">
        <f t="shared" si="197"/>
        <v>834</v>
      </c>
      <c r="DN112" s="43">
        <f t="shared" si="197"/>
        <v>0</v>
      </c>
      <c r="DO112" s="94">
        <v>834</v>
      </c>
      <c r="DP112" s="114">
        <v>0</v>
      </c>
      <c r="DQ112" s="60">
        <f t="shared" si="198"/>
        <v>0</v>
      </c>
      <c r="DR112" s="60">
        <f t="shared" si="198"/>
        <v>0</v>
      </c>
      <c r="DS112" s="60">
        <f t="shared" si="199"/>
        <v>83.4</v>
      </c>
      <c r="DT112" s="60">
        <f t="shared" si="199"/>
        <v>0</v>
      </c>
      <c r="DU112" s="60">
        <f t="shared" si="200"/>
        <v>83.4</v>
      </c>
      <c r="DV112" s="60">
        <f t="shared" si="200"/>
        <v>0</v>
      </c>
      <c r="DW112" s="60"/>
      <c r="DX112" s="60"/>
      <c r="DY112" s="60">
        <f t="shared" si="214"/>
        <v>83.4</v>
      </c>
      <c r="DZ112" s="60">
        <f t="shared" si="181"/>
        <v>0</v>
      </c>
      <c r="EA112" s="60"/>
      <c r="EB112" s="60"/>
      <c r="EC112" s="43">
        <f t="shared" si="201"/>
        <v>917.4</v>
      </c>
      <c r="ED112" s="43">
        <f t="shared" si="201"/>
        <v>0</v>
      </c>
      <c r="EE112" s="43">
        <v>917.4</v>
      </c>
      <c r="EF112" s="43">
        <v>0</v>
      </c>
      <c r="EG112" s="43">
        <f t="shared" si="245"/>
        <v>100</v>
      </c>
      <c r="EH112" s="43" t="e">
        <f t="shared" si="245"/>
        <v>#DIV/0!</v>
      </c>
      <c r="EI112" s="43">
        <f t="shared" si="202"/>
        <v>0</v>
      </c>
      <c r="EJ112" s="43">
        <f t="shared" si="202"/>
        <v>0</v>
      </c>
      <c r="EK112" s="43">
        <f t="shared" si="203"/>
        <v>83.4</v>
      </c>
      <c r="EL112" s="43">
        <f t="shared" si="203"/>
        <v>0</v>
      </c>
      <c r="EM112" s="43">
        <f t="shared" si="204"/>
        <v>83.4</v>
      </c>
      <c r="EN112" s="43">
        <f t="shared" si="204"/>
        <v>0</v>
      </c>
      <c r="EO112" s="43">
        <v>110</v>
      </c>
      <c r="EP112" s="43">
        <v>0</v>
      </c>
      <c r="EQ112" s="5"/>
      <c r="ER112" s="5"/>
      <c r="ES112" s="5"/>
      <c r="ET112" s="5"/>
      <c r="EU112" s="5">
        <f t="shared" si="270"/>
        <v>572.6</v>
      </c>
      <c r="EV112" s="5">
        <f t="shared" si="270"/>
        <v>0</v>
      </c>
      <c r="EW112" s="5">
        <f>85+1515</f>
        <v>1600</v>
      </c>
      <c r="EY112" s="58">
        <f>187.45+2604.24</f>
        <v>2791.6899999999996</v>
      </c>
    </row>
    <row r="113" spans="1:162" ht="18.75" x14ac:dyDescent="0.25">
      <c r="A113" s="68"/>
      <c r="B113" s="68" t="s">
        <v>279</v>
      </c>
      <c r="C113" s="91" t="s">
        <v>136</v>
      </c>
      <c r="D113" s="67" t="s">
        <v>277</v>
      </c>
      <c r="E113" s="69" t="s">
        <v>280</v>
      </c>
      <c r="F113" s="70">
        <v>3206.1099999999997</v>
      </c>
      <c r="G113" s="70">
        <v>268.20999999999998</v>
      </c>
      <c r="H113" s="70">
        <v>3206.1099999999997</v>
      </c>
      <c r="I113" s="70">
        <v>268.20999999999998</v>
      </c>
      <c r="J113" s="71">
        <f t="shared" ref="J113:AA113" si="308">+J111+J112</f>
        <v>3797.5</v>
      </c>
      <c r="K113" s="71">
        <f t="shared" si="308"/>
        <v>0</v>
      </c>
      <c r="L113" s="71">
        <f t="shared" si="308"/>
        <v>0</v>
      </c>
      <c r="M113" s="71">
        <f t="shared" si="308"/>
        <v>3797.5</v>
      </c>
      <c r="N113" s="71">
        <f t="shared" si="308"/>
        <v>142.5</v>
      </c>
      <c r="O113" s="71">
        <f t="shared" si="308"/>
        <v>0</v>
      </c>
      <c r="P113" s="71">
        <f t="shared" si="308"/>
        <v>0</v>
      </c>
      <c r="Q113" s="71">
        <f t="shared" si="308"/>
        <v>142.5</v>
      </c>
      <c r="R113" s="71">
        <f t="shared" si="308"/>
        <v>3940</v>
      </c>
      <c r="S113" s="71">
        <f t="shared" si="308"/>
        <v>250</v>
      </c>
      <c r="T113" s="71">
        <f t="shared" si="308"/>
        <v>0</v>
      </c>
      <c r="U113" s="71">
        <f t="shared" si="308"/>
        <v>0</v>
      </c>
      <c r="V113" s="71">
        <f t="shared" si="308"/>
        <v>3393.02</v>
      </c>
      <c r="W113" s="71">
        <f t="shared" si="308"/>
        <v>276.98</v>
      </c>
      <c r="X113" s="71">
        <f t="shared" si="308"/>
        <v>546.98</v>
      </c>
      <c r="Y113" s="71">
        <f t="shared" si="308"/>
        <v>-26.980000000000018</v>
      </c>
      <c r="Z113" s="71">
        <f t="shared" si="308"/>
        <v>3308.02</v>
      </c>
      <c r="AA113" s="71">
        <f t="shared" si="308"/>
        <v>85</v>
      </c>
      <c r="AB113" s="70">
        <f t="shared" si="182"/>
        <v>3393.02</v>
      </c>
      <c r="AC113" s="43">
        <f t="shared" si="183"/>
        <v>0</v>
      </c>
      <c r="AD113" s="70">
        <f t="shared" ref="AD113:CO113" si="309">+AD111+AD112</f>
        <v>3393.02</v>
      </c>
      <c r="AE113" s="70">
        <f t="shared" si="309"/>
        <v>250</v>
      </c>
      <c r="AF113" s="70">
        <f t="shared" si="309"/>
        <v>225.55</v>
      </c>
      <c r="AG113" s="70">
        <f t="shared" si="309"/>
        <v>848</v>
      </c>
      <c r="AH113" s="70">
        <f t="shared" si="309"/>
        <v>63</v>
      </c>
      <c r="AI113" s="96">
        <f t="shared" si="309"/>
        <v>283</v>
      </c>
      <c r="AJ113" s="70">
        <f t="shared" si="309"/>
        <v>21</v>
      </c>
      <c r="AK113" s="70">
        <f t="shared" si="309"/>
        <v>0</v>
      </c>
      <c r="AL113" s="70">
        <f t="shared" si="309"/>
        <v>0</v>
      </c>
      <c r="AM113" s="70">
        <f t="shared" si="309"/>
        <v>848.25</v>
      </c>
      <c r="AN113" s="70">
        <f t="shared" si="309"/>
        <v>60.88</v>
      </c>
      <c r="AO113" s="70">
        <f t="shared" si="309"/>
        <v>0</v>
      </c>
      <c r="AP113" s="70">
        <f t="shared" si="309"/>
        <v>0</v>
      </c>
      <c r="AQ113" s="70">
        <f t="shared" si="309"/>
        <v>1696.25</v>
      </c>
      <c r="AR113" s="70">
        <f t="shared" si="309"/>
        <v>123.88</v>
      </c>
      <c r="AS113" s="70">
        <f t="shared" si="309"/>
        <v>0</v>
      </c>
      <c r="AT113" s="70">
        <f t="shared" si="309"/>
        <v>0</v>
      </c>
      <c r="AU113" s="70">
        <f t="shared" si="309"/>
        <v>848.25</v>
      </c>
      <c r="AV113" s="70">
        <f t="shared" si="309"/>
        <v>62.5</v>
      </c>
      <c r="AW113" s="70">
        <f t="shared" si="309"/>
        <v>0</v>
      </c>
      <c r="AX113" s="70">
        <f t="shared" si="309"/>
        <v>0</v>
      </c>
      <c r="AY113" s="70">
        <f t="shared" si="309"/>
        <v>2827.5</v>
      </c>
      <c r="AZ113" s="70">
        <f t="shared" si="309"/>
        <v>207.38</v>
      </c>
      <c r="BA113" s="70">
        <f t="shared" si="309"/>
        <v>3034.88</v>
      </c>
      <c r="BB113" s="70">
        <f t="shared" si="309"/>
        <v>2095.29</v>
      </c>
      <c r="BC113" s="70">
        <f t="shared" si="309"/>
        <v>185.37</v>
      </c>
      <c r="BD113" s="70">
        <f t="shared" si="309"/>
        <v>732.21</v>
      </c>
      <c r="BE113" s="70">
        <f t="shared" si="309"/>
        <v>22.009999999999991</v>
      </c>
      <c r="BF113" s="70">
        <f t="shared" si="309"/>
        <v>419.06</v>
      </c>
      <c r="BG113" s="96">
        <f t="shared" si="309"/>
        <v>37.07</v>
      </c>
      <c r="BH113" s="96">
        <f t="shared" si="309"/>
        <v>72.319999999999993</v>
      </c>
      <c r="BI113" s="96">
        <f t="shared" si="309"/>
        <v>7.53</v>
      </c>
      <c r="BJ113" s="96">
        <f t="shared" si="309"/>
        <v>0</v>
      </c>
      <c r="BK113" s="96">
        <f t="shared" si="309"/>
        <v>0</v>
      </c>
      <c r="BL113" s="96">
        <f t="shared" si="309"/>
        <v>2899.8199999999997</v>
      </c>
      <c r="BM113" s="96">
        <f t="shared" si="309"/>
        <v>214.91</v>
      </c>
      <c r="BN113" s="96">
        <f t="shared" si="309"/>
        <v>3114.73</v>
      </c>
      <c r="BO113" s="96">
        <f t="shared" si="309"/>
        <v>2670.1</v>
      </c>
      <c r="BP113" s="96">
        <f t="shared" si="309"/>
        <v>208.15</v>
      </c>
      <c r="BQ113" s="70">
        <f t="shared" si="309"/>
        <v>229.72000000000003</v>
      </c>
      <c r="BR113" s="70">
        <f t="shared" si="309"/>
        <v>6.7599999999999909</v>
      </c>
      <c r="BS113" s="70">
        <f t="shared" si="309"/>
        <v>242.74</v>
      </c>
      <c r="BT113" s="70">
        <f t="shared" si="309"/>
        <v>18.920000000000002</v>
      </c>
      <c r="BU113" s="70">
        <f t="shared" si="309"/>
        <v>85.009999999999977</v>
      </c>
      <c r="BV113" s="70">
        <f t="shared" si="309"/>
        <v>57.09</v>
      </c>
      <c r="BW113" s="70">
        <f t="shared" si="309"/>
        <v>31.6</v>
      </c>
      <c r="BX113" s="70">
        <f t="shared" si="309"/>
        <v>10.64</v>
      </c>
      <c r="BY113" s="70">
        <f t="shared" si="309"/>
        <v>0</v>
      </c>
      <c r="BZ113" s="70">
        <f t="shared" si="309"/>
        <v>0</v>
      </c>
      <c r="CA113" s="70">
        <f t="shared" si="309"/>
        <v>3016.43</v>
      </c>
      <c r="CB113" s="70">
        <f t="shared" si="309"/>
        <v>282.64</v>
      </c>
      <c r="CC113" s="70">
        <f t="shared" si="309"/>
        <v>3318.08</v>
      </c>
      <c r="CD113" s="70">
        <f t="shared" si="309"/>
        <v>325.04000000000002</v>
      </c>
      <c r="CE113" s="70">
        <f t="shared" si="309"/>
        <v>277</v>
      </c>
      <c r="CF113" s="70">
        <f t="shared" si="309"/>
        <v>27</v>
      </c>
      <c r="CG113" s="70">
        <f t="shared" si="309"/>
        <v>754.11</v>
      </c>
      <c r="CH113" s="96">
        <f t="shared" si="309"/>
        <v>70.66</v>
      </c>
      <c r="CI113" s="70">
        <f t="shared" si="309"/>
        <v>0</v>
      </c>
      <c r="CJ113" s="70">
        <f t="shared" si="309"/>
        <v>0</v>
      </c>
      <c r="CK113" s="70">
        <f t="shared" si="309"/>
        <v>835</v>
      </c>
      <c r="CL113" s="70">
        <f t="shared" si="309"/>
        <v>21</v>
      </c>
      <c r="CM113" s="70">
        <f t="shared" si="309"/>
        <v>0</v>
      </c>
      <c r="CN113" s="70">
        <f t="shared" si="309"/>
        <v>0</v>
      </c>
      <c r="CO113" s="70">
        <f t="shared" si="309"/>
        <v>4197.5599999999995</v>
      </c>
      <c r="CP113" s="70">
        <f t="shared" ref="CP113:FA113" si="310">+CP111+CP112</f>
        <v>250</v>
      </c>
      <c r="CQ113" s="70">
        <f t="shared" si="310"/>
        <v>3340</v>
      </c>
      <c r="CR113" s="70">
        <f t="shared" si="310"/>
        <v>84</v>
      </c>
      <c r="CS113" s="70">
        <f t="shared" si="310"/>
        <v>3340</v>
      </c>
      <c r="CT113" s="70">
        <f t="shared" si="310"/>
        <v>84</v>
      </c>
      <c r="CU113" s="70">
        <f t="shared" si="310"/>
        <v>3525</v>
      </c>
      <c r="CV113" s="70">
        <f t="shared" si="310"/>
        <v>297</v>
      </c>
      <c r="CW113" s="70">
        <f t="shared" si="310"/>
        <v>535</v>
      </c>
      <c r="CX113" s="70">
        <f t="shared" si="310"/>
        <v>128.5</v>
      </c>
      <c r="CY113" s="70">
        <f t="shared" si="310"/>
        <v>0</v>
      </c>
      <c r="CZ113" s="70">
        <f t="shared" si="310"/>
        <v>0</v>
      </c>
      <c r="DA113" s="70">
        <f t="shared" si="310"/>
        <v>1647</v>
      </c>
      <c r="DB113" s="70">
        <f t="shared" si="310"/>
        <v>176.5</v>
      </c>
      <c r="DC113" s="70">
        <f t="shared" si="310"/>
        <v>1647</v>
      </c>
      <c r="DD113" s="70">
        <f t="shared" si="310"/>
        <v>37.75</v>
      </c>
      <c r="DE113" s="70">
        <f t="shared" si="310"/>
        <v>0</v>
      </c>
      <c r="DF113" s="70">
        <f t="shared" si="310"/>
        <v>138.75</v>
      </c>
      <c r="DG113" s="70">
        <f t="shared" si="310"/>
        <v>881.25</v>
      </c>
      <c r="DH113" s="70">
        <f t="shared" si="310"/>
        <v>73.599999999999994</v>
      </c>
      <c r="DI113" s="70">
        <f t="shared" si="310"/>
        <v>800</v>
      </c>
      <c r="DJ113" s="70">
        <f t="shared" si="310"/>
        <v>10</v>
      </c>
      <c r="DK113" s="70">
        <f t="shared" si="310"/>
        <v>0</v>
      </c>
      <c r="DL113" s="70">
        <f t="shared" si="310"/>
        <v>0</v>
      </c>
      <c r="DM113" s="70">
        <f t="shared" si="310"/>
        <v>2447</v>
      </c>
      <c r="DN113" s="70">
        <f t="shared" si="310"/>
        <v>186.5</v>
      </c>
      <c r="DO113" s="70">
        <f t="shared" si="310"/>
        <v>2285.3599999999997</v>
      </c>
      <c r="DP113" s="70">
        <f t="shared" si="310"/>
        <v>181.02</v>
      </c>
      <c r="DQ113" s="70">
        <f t="shared" si="310"/>
        <v>161.63999999999999</v>
      </c>
      <c r="DR113" s="70">
        <f t="shared" si="310"/>
        <v>5.48</v>
      </c>
      <c r="DS113" s="70">
        <f t="shared" si="310"/>
        <v>228.536</v>
      </c>
      <c r="DT113" s="70">
        <f t="shared" si="310"/>
        <v>18.102</v>
      </c>
      <c r="DU113" s="70">
        <f t="shared" si="310"/>
        <v>66.896000000000015</v>
      </c>
      <c r="DV113" s="70">
        <f t="shared" si="310"/>
        <v>12.622</v>
      </c>
      <c r="DW113" s="70">
        <f t="shared" si="310"/>
        <v>0</v>
      </c>
      <c r="DX113" s="70">
        <f t="shared" si="310"/>
        <v>0</v>
      </c>
      <c r="DY113" s="70">
        <f t="shared" si="310"/>
        <v>83.4</v>
      </c>
      <c r="DZ113" s="70">
        <f t="shared" si="310"/>
        <v>35</v>
      </c>
      <c r="EA113" s="70">
        <f t="shared" si="310"/>
        <v>0</v>
      </c>
      <c r="EB113" s="96">
        <f t="shared" si="310"/>
        <v>0</v>
      </c>
      <c r="EC113" s="70">
        <f t="shared" si="310"/>
        <v>2530.4</v>
      </c>
      <c r="ED113" s="70">
        <f t="shared" si="310"/>
        <v>221.5</v>
      </c>
      <c r="EE113" s="70">
        <f t="shared" si="310"/>
        <v>2515.91</v>
      </c>
      <c r="EF113" s="70">
        <f t="shared" si="310"/>
        <v>181.02</v>
      </c>
      <c r="EG113" s="70">
        <f t="shared" si="310"/>
        <v>199.1</v>
      </c>
      <c r="EH113" s="70" t="e">
        <f t="shared" si="310"/>
        <v>#DIV/0!</v>
      </c>
      <c r="EI113" s="70">
        <f t="shared" si="310"/>
        <v>14.49</v>
      </c>
      <c r="EJ113" s="70">
        <f t="shared" si="310"/>
        <v>40.479999999999997</v>
      </c>
      <c r="EK113" s="70">
        <f t="shared" si="310"/>
        <v>228.72</v>
      </c>
      <c r="EL113" s="70">
        <f t="shared" si="310"/>
        <v>16.46</v>
      </c>
      <c r="EM113" s="70">
        <f t="shared" si="310"/>
        <v>214.23</v>
      </c>
      <c r="EN113" s="70">
        <f t="shared" si="310"/>
        <v>-24.019999999999996</v>
      </c>
      <c r="EO113" s="70">
        <f t="shared" si="310"/>
        <v>295</v>
      </c>
      <c r="EP113" s="70">
        <f t="shared" si="310"/>
        <v>10</v>
      </c>
      <c r="EQ113" s="66"/>
      <c r="ER113" s="46"/>
      <c r="ES113" s="46">
        <f t="shared" si="310"/>
        <v>180</v>
      </c>
      <c r="ET113" s="46">
        <f t="shared" si="310"/>
        <v>66.25</v>
      </c>
      <c r="EU113" s="5">
        <f t="shared" si="270"/>
        <v>704.59999999999991</v>
      </c>
      <c r="EV113" s="5">
        <f t="shared" si="270"/>
        <v>62.879999999999995</v>
      </c>
      <c r="EW113" s="46">
        <f t="shared" si="310"/>
        <v>3530</v>
      </c>
      <c r="EX113" s="46">
        <f t="shared" si="310"/>
        <v>294.38</v>
      </c>
      <c r="EY113" s="46">
        <f t="shared" si="310"/>
        <v>4891.6899999999996</v>
      </c>
      <c r="EZ113" s="46">
        <f t="shared" si="310"/>
        <v>100</v>
      </c>
      <c r="FA113" s="46">
        <f t="shared" si="310"/>
        <v>0</v>
      </c>
      <c r="FB113" s="46">
        <f t="shared" ref="FB113:FF113" si="311">+FB111+FB112</f>
        <v>0</v>
      </c>
      <c r="FC113" s="46">
        <f t="shared" si="311"/>
        <v>0</v>
      </c>
      <c r="FD113" s="46">
        <f t="shared" si="311"/>
        <v>0</v>
      </c>
      <c r="FE113" s="46">
        <f t="shared" si="311"/>
        <v>0</v>
      </c>
      <c r="FF113" s="46">
        <f t="shared" si="311"/>
        <v>0</v>
      </c>
    </row>
    <row r="114" spans="1:162" ht="18.75" x14ac:dyDescent="0.25">
      <c r="A114" s="68">
        <v>18</v>
      </c>
      <c r="B114" s="68" t="s">
        <v>281</v>
      </c>
      <c r="C114" s="91" t="s">
        <v>160</v>
      </c>
      <c r="D114" s="67" t="s">
        <v>282</v>
      </c>
      <c r="E114" s="69">
        <v>720200</v>
      </c>
      <c r="F114" s="40">
        <v>726.06</v>
      </c>
      <c r="G114" s="40">
        <v>113.11999999999999</v>
      </c>
      <c r="H114" s="40">
        <v>726.06</v>
      </c>
      <c r="I114" s="70">
        <v>113.11999999999999</v>
      </c>
      <c r="J114" s="71">
        <v>800.1</v>
      </c>
      <c r="K114" s="71">
        <v>0</v>
      </c>
      <c r="L114" s="71">
        <v>0</v>
      </c>
      <c r="M114" s="71">
        <f>L114+K114+J114</f>
        <v>800.1</v>
      </c>
      <c r="N114" s="71">
        <v>0</v>
      </c>
      <c r="O114" s="71">
        <v>0</v>
      </c>
      <c r="P114" s="71">
        <v>0</v>
      </c>
      <c r="Q114" s="71">
        <f>P114+O114+N114</f>
        <v>0</v>
      </c>
      <c r="R114" s="71">
        <f>+Q114+M114</f>
        <v>800.1</v>
      </c>
      <c r="S114" s="71">
        <v>0</v>
      </c>
      <c r="T114" s="92"/>
      <c r="U114" s="92"/>
      <c r="V114" s="70">
        <f t="shared" ref="V114:V116" si="312">ROUND(H114*1.0583,2)</f>
        <v>768.39</v>
      </c>
      <c r="W114" s="70">
        <f t="shared" ref="W114:W116" si="313">ROUND(I114*1.0327,2)</f>
        <v>116.82</v>
      </c>
      <c r="X114" s="70">
        <f t="shared" si="170"/>
        <v>31.710000000000036</v>
      </c>
      <c r="Y114" s="70">
        <f t="shared" si="170"/>
        <v>-116.82</v>
      </c>
      <c r="Z114" s="70">
        <v>768.39</v>
      </c>
      <c r="AA114" s="70"/>
      <c r="AB114" s="70">
        <f t="shared" si="182"/>
        <v>768.39</v>
      </c>
      <c r="AC114" s="43">
        <f t="shared" si="183"/>
        <v>0</v>
      </c>
      <c r="AD114" s="70">
        <f t="shared" ref="AD114:AE116" si="314">IF(X114&gt;0,V114,R114)</f>
        <v>768.39</v>
      </c>
      <c r="AE114" s="70">
        <f>IF(Y114&gt;0,W114,S114)+13.75</f>
        <v>13.75</v>
      </c>
      <c r="AF114" s="70">
        <f t="shared" si="184"/>
        <v>0</v>
      </c>
      <c r="AG114" s="43">
        <f t="shared" si="171"/>
        <v>192</v>
      </c>
      <c r="AH114" s="43">
        <f>ROUND(AE114/4,0)-3</f>
        <v>0</v>
      </c>
      <c r="AI114" s="93">
        <f t="shared" si="172"/>
        <v>64</v>
      </c>
      <c r="AJ114" s="43">
        <f>ROUND(AE114/12,0)-1</f>
        <v>0</v>
      </c>
      <c r="AK114" s="43"/>
      <c r="AL114" s="43">
        <v>13.75</v>
      </c>
      <c r="AM114" s="43">
        <f t="shared" si="185"/>
        <v>192.1</v>
      </c>
      <c r="AN114" s="43">
        <f>ROUND(AE114*24.35%,2)-3.35</f>
        <v>0</v>
      </c>
      <c r="AO114" s="43">
        <v>46.65</v>
      </c>
      <c r="AP114" s="43"/>
      <c r="AQ114" s="43">
        <f t="shared" si="173"/>
        <v>430.75</v>
      </c>
      <c r="AR114" s="43">
        <f t="shared" si="173"/>
        <v>13.75</v>
      </c>
      <c r="AS114" s="43"/>
      <c r="AT114" s="43"/>
      <c r="AU114" s="43">
        <f t="shared" si="260"/>
        <v>192.1</v>
      </c>
      <c r="AV114" s="43">
        <v>0</v>
      </c>
      <c r="AW114" s="43">
        <v>41.1</v>
      </c>
      <c r="AX114" s="43">
        <v>1.38</v>
      </c>
      <c r="AY114" s="43">
        <f t="shared" si="166"/>
        <v>727.95</v>
      </c>
      <c r="AZ114" s="43">
        <f t="shared" si="166"/>
        <v>15.129999999999999</v>
      </c>
      <c r="BA114" s="43">
        <f t="shared" si="167"/>
        <v>743.08</v>
      </c>
      <c r="BB114" s="60">
        <v>727.78</v>
      </c>
      <c r="BC114" s="60">
        <v>15.13</v>
      </c>
      <c r="BD114" s="60">
        <f t="shared" si="168"/>
        <v>0.17000000000007276</v>
      </c>
      <c r="BE114" s="60">
        <f t="shared" si="168"/>
        <v>0</v>
      </c>
      <c r="BF114" s="60">
        <f t="shared" si="169"/>
        <v>145.56</v>
      </c>
      <c r="BG114" s="60">
        <f t="shared" si="169"/>
        <v>3.03</v>
      </c>
      <c r="BH114" s="43">
        <v>77</v>
      </c>
      <c r="BI114" s="43">
        <v>0</v>
      </c>
      <c r="BJ114" s="43"/>
      <c r="BK114" s="43"/>
      <c r="BL114" s="43">
        <f t="shared" si="180"/>
        <v>804.95</v>
      </c>
      <c r="BM114" s="43">
        <f t="shared" si="180"/>
        <v>15.129999999999999</v>
      </c>
      <c r="BN114" s="43">
        <f t="shared" si="187"/>
        <v>820.08</v>
      </c>
      <c r="BO114" s="43">
        <v>804.31</v>
      </c>
      <c r="BP114" s="93">
        <v>15.13</v>
      </c>
      <c r="BQ114" s="43">
        <f t="shared" si="188"/>
        <v>0.64000000000010004</v>
      </c>
      <c r="BR114" s="43">
        <f t="shared" si="188"/>
        <v>0</v>
      </c>
      <c r="BS114" s="43">
        <f t="shared" si="189"/>
        <v>73.12</v>
      </c>
      <c r="BT114" s="43">
        <f t="shared" si="189"/>
        <v>1.38</v>
      </c>
      <c r="BU114" s="43">
        <v>70</v>
      </c>
      <c r="BV114" s="43">
        <v>0</v>
      </c>
      <c r="BW114" s="43">
        <v>6</v>
      </c>
      <c r="BX114" s="43"/>
      <c r="BY114" s="43"/>
      <c r="BZ114" s="43"/>
      <c r="CA114" s="43">
        <v>880.95</v>
      </c>
      <c r="CB114" s="43">
        <v>15.129999999999999</v>
      </c>
      <c r="CC114" s="92">
        <v>969.05</v>
      </c>
      <c r="CD114" s="92">
        <v>17.399999999999999</v>
      </c>
      <c r="CE114" s="92">
        <v>81</v>
      </c>
      <c r="CF114" s="92">
        <v>0</v>
      </c>
      <c r="CG114" s="92">
        <f t="shared" si="190"/>
        <v>220.24</v>
      </c>
      <c r="CH114" s="92">
        <f t="shared" si="190"/>
        <v>3.78</v>
      </c>
      <c r="CI114" s="43"/>
      <c r="CJ114" s="43"/>
      <c r="CK114" s="43">
        <v>240</v>
      </c>
      <c r="CL114" s="43">
        <v>0</v>
      </c>
      <c r="CM114" s="43"/>
      <c r="CN114" s="43"/>
      <c r="CO114" s="43">
        <v>950.05</v>
      </c>
      <c r="CP114" s="43">
        <v>0</v>
      </c>
      <c r="CQ114" s="43">
        <f t="shared" si="191"/>
        <v>960</v>
      </c>
      <c r="CR114" s="43">
        <f t="shared" si="191"/>
        <v>0</v>
      </c>
      <c r="CS114" s="43">
        <f t="shared" si="192"/>
        <v>950.05</v>
      </c>
      <c r="CT114" s="43">
        <f t="shared" si="192"/>
        <v>0</v>
      </c>
      <c r="CU114" s="43">
        <v>1019.5</v>
      </c>
      <c r="CV114" s="43">
        <v>0</v>
      </c>
      <c r="CW114" s="43">
        <f t="shared" si="193"/>
        <v>254.88</v>
      </c>
      <c r="CX114" s="43">
        <f t="shared" si="193"/>
        <v>0</v>
      </c>
      <c r="CY114" s="43"/>
      <c r="CZ114" s="43"/>
      <c r="DA114" s="43">
        <f t="shared" si="194"/>
        <v>575.88</v>
      </c>
      <c r="DB114" s="43">
        <f t="shared" si="194"/>
        <v>0</v>
      </c>
      <c r="DC114" s="43">
        <v>575.09</v>
      </c>
      <c r="DD114" s="43">
        <v>0</v>
      </c>
      <c r="DE114" s="43">
        <f t="shared" si="195"/>
        <v>0.78999999999996362</v>
      </c>
      <c r="DF114" s="43">
        <f t="shared" si="195"/>
        <v>0</v>
      </c>
      <c r="DG114" s="43">
        <f t="shared" ref="DG114:DH116" si="315">ROUND(0.25*(MIN(CU114,EW114)),2)</f>
        <v>254.88</v>
      </c>
      <c r="DH114" s="43">
        <f t="shared" si="315"/>
        <v>0</v>
      </c>
      <c r="DI114" s="43">
        <f t="shared" si="196"/>
        <v>254.09000000000003</v>
      </c>
      <c r="DJ114" s="43">
        <f>+DH114-DF114</f>
        <v>0</v>
      </c>
      <c r="DK114" s="43">
        <v>12</v>
      </c>
      <c r="DL114" s="43"/>
      <c r="DM114" s="43">
        <f t="shared" si="197"/>
        <v>841.97</v>
      </c>
      <c r="DN114" s="43">
        <f t="shared" si="197"/>
        <v>0</v>
      </c>
      <c r="DO114" s="94">
        <v>841.73</v>
      </c>
      <c r="DP114" s="95">
        <v>0</v>
      </c>
      <c r="DQ114" s="60">
        <f t="shared" si="198"/>
        <v>0.24</v>
      </c>
      <c r="DR114" s="60">
        <f t="shared" si="198"/>
        <v>0</v>
      </c>
      <c r="DS114" s="60">
        <f t="shared" si="199"/>
        <v>84.173000000000002</v>
      </c>
      <c r="DT114" s="60">
        <f t="shared" si="199"/>
        <v>0</v>
      </c>
      <c r="DU114" s="60">
        <f t="shared" si="200"/>
        <v>83.933000000000007</v>
      </c>
      <c r="DV114" s="60">
        <f t="shared" si="200"/>
        <v>0</v>
      </c>
      <c r="DW114" s="60"/>
      <c r="DX114" s="60"/>
      <c r="DY114" s="60">
        <f t="shared" si="214"/>
        <v>83.93</v>
      </c>
      <c r="DZ114" s="60">
        <f t="shared" si="181"/>
        <v>0</v>
      </c>
      <c r="EA114" s="60"/>
      <c r="EB114" s="60"/>
      <c r="EC114" s="43">
        <f t="shared" si="201"/>
        <v>925.90000000000009</v>
      </c>
      <c r="ED114" s="43">
        <f t="shared" si="201"/>
        <v>0</v>
      </c>
      <c r="EE114" s="43">
        <v>920.23</v>
      </c>
      <c r="EF114" s="43">
        <v>0</v>
      </c>
      <c r="EG114" s="43">
        <f t="shared" si="245"/>
        <v>99.39</v>
      </c>
      <c r="EH114" s="43" t="e">
        <f t="shared" si="245"/>
        <v>#DIV/0!</v>
      </c>
      <c r="EI114" s="43">
        <f t="shared" si="202"/>
        <v>5.67</v>
      </c>
      <c r="EJ114" s="43">
        <f t="shared" si="202"/>
        <v>0</v>
      </c>
      <c r="EK114" s="43">
        <f t="shared" si="203"/>
        <v>83.66</v>
      </c>
      <c r="EL114" s="43">
        <f t="shared" si="203"/>
        <v>0</v>
      </c>
      <c r="EM114" s="43">
        <f t="shared" si="204"/>
        <v>77.989999999999995</v>
      </c>
      <c r="EN114" s="43">
        <f t="shared" si="204"/>
        <v>0</v>
      </c>
      <c r="EO114" s="43">
        <v>86.6</v>
      </c>
      <c r="EP114" s="43">
        <v>0</v>
      </c>
      <c r="EQ114" s="5"/>
      <c r="ER114" s="5"/>
      <c r="ES114" s="5"/>
      <c r="ET114" s="5"/>
      <c r="EU114" s="5">
        <f t="shared" si="270"/>
        <v>7.0000000000000284</v>
      </c>
      <c r="EV114" s="5">
        <f t="shared" si="270"/>
        <v>0</v>
      </c>
      <c r="EW114" s="5">
        <v>1019.5000000000001</v>
      </c>
      <c r="EY114" s="5">
        <v>1080.0999999999999</v>
      </c>
    </row>
    <row r="115" spans="1:162" ht="18.75" x14ac:dyDescent="0.25">
      <c r="A115" s="37">
        <v>19</v>
      </c>
      <c r="B115" s="37"/>
      <c r="C115" s="91" t="s">
        <v>160</v>
      </c>
      <c r="D115" s="38" t="s">
        <v>283</v>
      </c>
      <c r="E115" s="39"/>
      <c r="F115" s="40">
        <v>566.9</v>
      </c>
      <c r="G115" s="40">
        <v>94.660000000000011</v>
      </c>
      <c r="H115" s="40">
        <v>572.9</v>
      </c>
      <c r="I115" s="40">
        <v>94.660000000000011</v>
      </c>
      <c r="J115" s="41">
        <v>750</v>
      </c>
      <c r="K115" s="41">
        <v>0</v>
      </c>
      <c r="L115" s="41">
        <v>0</v>
      </c>
      <c r="M115" s="41">
        <f t="shared" ref="M115:M116" si="316">J115+K115+L115</f>
        <v>750</v>
      </c>
      <c r="N115" s="41">
        <v>0</v>
      </c>
      <c r="O115" s="41">
        <v>0</v>
      </c>
      <c r="P115" s="41">
        <v>0</v>
      </c>
      <c r="Q115" s="41">
        <f t="shared" ref="Q115:Q116" si="317">N115+O115+P115</f>
        <v>0</v>
      </c>
      <c r="R115" s="41">
        <f t="shared" ref="R115:R116" si="318">Q115+M115</f>
        <v>750</v>
      </c>
      <c r="S115" s="41">
        <v>119</v>
      </c>
      <c r="T115" s="92"/>
      <c r="U115" s="92"/>
      <c r="V115" s="40">
        <f t="shared" si="312"/>
        <v>606.29999999999995</v>
      </c>
      <c r="W115" s="40">
        <f t="shared" si="313"/>
        <v>97.76</v>
      </c>
      <c r="X115" s="43">
        <f t="shared" si="170"/>
        <v>143.70000000000005</v>
      </c>
      <c r="Y115" s="43">
        <f t="shared" si="170"/>
        <v>21.239999999999995</v>
      </c>
      <c r="Z115" s="43">
        <v>606.29999999999995</v>
      </c>
      <c r="AA115" s="43"/>
      <c r="AB115" s="43">
        <f t="shared" si="182"/>
        <v>606.29999999999995</v>
      </c>
      <c r="AC115" s="43">
        <f t="shared" si="183"/>
        <v>0</v>
      </c>
      <c r="AD115" s="43">
        <f t="shared" si="314"/>
        <v>606.29999999999995</v>
      </c>
      <c r="AE115" s="43">
        <f t="shared" si="314"/>
        <v>97.76</v>
      </c>
      <c r="AF115" s="43">
        <f t="shared" si="184"/>
        <v>107.36</v>
      </c>
      <c r="AG115" s="43">
        <f t="shared" si="171"/>
        <v>152</v>
      </c>
      <c r="AH115" s="43">
        <f t="shared" si="171"/>
        <v>24</v>
      </c>
      <c r="AI115" s="93">
        <f t="shared" si="172"/>
        <v>51</v>
      </c>
      <c r="AJ115" s="43">
        <f t="shared" si="172"/>
        <v>8</v>
      </c>
      <c r="AK115" s="43">
        <v>15</v>
      </c>
      <c r="AL115" s="43"/>
      <c r="AM115" s="43">
        <f t="shared" si="185"/>
        <v>151.58000000000001</v>
      </c>
      <c r="AN115" s="43">
        <f>ROUND(AE115*24.35%,2)+9.46</f>
        <v>33.260000000000005</v>
      </c>
      <c r="AO115" s="43"/>
      <c r="AP115" s="43">
        <v>26.74</v>
      </c>
      <c r="AQ115" s="43">
        <f t="shared" si="173"/>
        <v>318.58000000000004</v>
      </c>
      <c r="AR115" s="43">
        <f t="shared" si="173"/>
        <v>84</v>
      </c>
      <c r="AS115" s="43">
        <v>20</v>
      </c>
      <c r="AT115" s="43"/>
      <c r="AU115" s="43">
        <f t="shared" si="260"/>
        <v>151.58000000000001</v>
      </c>
      <c r="AV115" s="43">
        <v>0</v>
      </c>
      <c r="AW115" s="43"/>
      <c r="AX115" s="43"/>
      <c r="AY115" s="43">
        <f t="shared" si="166"/>
        <v>541.16000000000008</v>
      </c>
      <c r="AZ115" s="43">
        <f t="shared" si="166"/>
        <v>92</v>
      </c>
      <c r="BA115" s="43">
        <f t="shared" si="167"/>
        <v>633.16000000000008</v>
      </c>
      <c r="BB115" s="60">
        <v>539.78</v>
      </c>
      <c r="BC115" s="60">
        <v>84.62</v>
      </c>
      <c r="BD115" s="60">
        <f t="shared" si="168"/>
        <v>1.3800000000001091</v>
      </c>
      <c r="BE115" s="60">
        <f t="shared" si="168"/>
        <v>7.3799999999999955</v>
      </c>
      <c r="BF115" s="60">
        <f t="shared" si="169"/>
        <v>107.96</v>
      </c>
      <c r="BG115" s="60">
        <f t="shared" si="169"/>
        <v>16.920000000000002</v>
      </c>
      <c r="BH115" s="43">
        <v>53.29</v>
      </c>
      <c r="BI115" s="43">
        <v>0</v>
      </c>
      <c r="BJ115" s="43"/>
      <c r="BK115" s="43"/>
      <c r="BL115" s="43">
        <f t="shared" si="180"/>
        <v>594.45000000000005</v>
      </c>
      <c r="BM115" s="43">
        <f t="shared" si="180"/>
        <v>92</v>
      </c>
      <c r="BN115" s="43">
        <f t="shared" si="187"/>
        <v>686.45</v>
      </c>
      <c r="BO115" s="43">
        <v>592.47</v>
      </c>
      <c r="BP115" s="93">
        <v>57.59</v>
      </c>
      <c r="BQ115" s="43">
        <f t="shared" si="188"/>
        <v>1.9800000000000182</v>
      </c>
      <c r="BR115" s="43">
        <f t="shared" si="188"/>
        <v>34.409999999999997</v>
      </c>
      <c r="BS115" s="43">
        <f t="shared" si="189"/>
        <v>53.86</v>
      </c>
      <c r="BT115" s="43">
        <f t="shared" si="189"/>
        <v>5.24</v>
      </c>
      <c r="BU115" s="43">
        <v>55</v>
      </c>
      <c r="BV115" s="43">
        <v>0</v>
      </c>
      <c r="BW115" s="43"/>
      <c r="BX115" s="43">
        <v>51.25</v>
      </c>
      <c r="BY115" s="43"/>
      <c r="BZ115" s="43"/>
      <c r="CA115" s="43">
        <v>649.45000000000005</v>
      </c>
      <c r="CB115" s="43">
        <v>143.25</v>
      </c>
      <c r="CC115" s="92">
        <v>714.4</v>
      </c>
      <c r="CD115" s="92">
        <v>164.74</v>
      </c>
      <c r="CE115" s="92">
        <v>60</v>
      </c>
      <c r="CF115" s="92">
        <v>14</v>
      </c>
      <c r="CG115" s="92">
        <f t="shared" si="190"/>
        <v>162.36000000000001</v>
      </c>
      <c r="CH115" s="92">
        <f t="shared" si="190"/>
        <v>35.81</v>
      </c>
      <c r="CI115" s="43"/>
      <c r="CJ115" s="43"/>
      <c r="CK115" s="43">
        <v>180</v>
      </c>
      <c r="CL115" s="72">
        <f>81-30</f>
        <v>51</v>
      </c>
      <c r="CM115" s="72"/>
      <c r="CN115" s="72"/>
      <c r="CO115" s="43">
        <v>750</v>
      </c>
      <c r="CP115" s="43">
        <v>85</v>
      </c>
      <c r="CQ115" s="43">
        <f t="shared" si="191"/>
        <v>720</v>
      </c>
      <c r="CR115" s="43">
        <f t="shared" si="191"/>
        <v>204</v>
      </c>
      <c r="CS115" s="43">
        <f t="shared" si="192"/>
        <v>720</v>
      </c>
      <c r="CT115" s="43">
        <f t="shared" si="192"/>
        <v>85</v>
      </c>
      <c r="CU115" s="43">
        <v>720</v>
      </c>
      <c r="CV115" s="43">
        <v>100</v>
      </c>
      <c r="CW115" s="43">
        <f t="shared" si="193"/>
        <v>180</v>
      </c>
      <c r="CX115" s="43">
        <f>ROUND(CV115*25%,2)-25</f>
        <v>0</v>
      </c>
      <c r="CY115" s="43"/>
      <c r="CZ115" s="43">
        <v>12</v>
      </c>
      <c r="DA115" s="43">
        <f t="shared" si="194"/>
        <v>420</v>
      </c>
      <c r="DB115" s="43">
        <f t="shared" si="194"/>
        <v>77</v>
      </c>
      <c r="DC115" s="43">
        <v>399.9</v>
      </c>
      <c r="DD115" s="43">
        <v>76.599999999999994</v>
      </c>
      <c r="DE115" s="43">
        <f t="shared" si="195"/>
        <v>20.100000000000023</v>
      </c>
      <c r="DF115" s="43">
        <f t="shared" si="195"/>
        <v>0.40000000000000568</v>
      </c>
      <c r="DG115" s="43">
        <f t="shared" si="315"/>
        <v>180</v>
      </c>
      <c r="DH115" s="43">
        <f t="shared" si="315"/>
        <v>25</v>
      </c>
      <c r="DI115" s="43">
        <f t="shared" si="196"/>
        <v>159.89999999999998</v>
      </c>
      <c r="DJ115" s="43">
        <f>+DH115-DF115-17.29-7.31</f>
        <v>0</v>
      </c>
      <c r="DK115" s="43"/>
      <c r="DL115" s="43">
        <v>12</v>
      </c>
      <c r="DM115" s="43">
        <f t="shared" si="197"/>
        <v>579.9</v>
      </c>
      <c r="DN115" s="43">
        <f t="shared" si="197"/>
        <v>89</v>
      </c>
      <c r="DO115" s="94">
        <v>573.32000000000005</v>
      </c>
      <c r="DP115" s="95">
        <v>83.93</v>
      </c>
      <c r="DQ115" s="60">
        <f t="shared" si="198"/>
        <v>6.58</v>
      </c>
      <c r="DR115" s="60">
        <f t="shared" si="198"/>
        <v>5.07</v>
      </c>
      <c r="DS115" s="60">
        <f t="shared" si="199"/>
        <v>57.332000000000008</v>
      </c>
      <c r="DT115" s="60">
        <f t="shared" si="199"/>
        <v>8.3930000000000007</v>
      </c>
      <c r="DU115" s="60">
        <f t="shared" si="200"/>
        <v>50.75200000000001</v>
      </c>
      <c r="DV115" s="60">
        <f t="shared" si="200"/>
        <v>3.3230000000000004</v>
      </c>
      <c r="DW115" s="60"/>
      <c r="DX115" s="60"/>
      <c r="DY115" s="60">
        <f t="shared" si="214"/>
        <v>50.75</v>
      </c>
      <c r="DZ115" s="60">
        <f t="shared" si="181"/>
        <v>3.32</v>
      </c>
      <c r="EA115" s="60"/>
      <c r="EB115" s="60"/>
      <c r="EC115" s="43">
        <f t="shared" si="201"/>
        <v>630.65</v>
      </c>
      <c r="ED115" s="43">
        <f t="shared" si="201"/>
        <v>92.32</v>
      </c>
      <c r="EE115" s="43">
        <v>627.02</v>
      </c>
      <c r="EF115" s="43">
        <v>85.5</v>
      </c>
      <c r="EG115" s="43">
        <f t="shared" si="245"/>
        <v>99.42</v>
      </c>
      <c r="EH115" s="43">
        <f t="shared" si="245"/>
        <v>92.61</v>
      </c>
      <c r="EI115" s="43">
        <f t="shared" si="202"/>
        <v>3.63</v>
      </c>
      <c r="EJ115" s="43">
        <f t="shared" si="202"/>
        <v>6.82</v>
      </c>
      <c r="EK115" s="43">
        <f t="shared" si="203"/>
        <v>57</v>
      </c>
      <c r="EL115" s="43">
        <f t="shared" si="203"/>
        <v>7.77</v>
      </c>
      <c r="EM115" s="43">
        <f t="shared" si="204"/>
        <v>53.37</v>
      </c>
      <c r="EN115" s="43">
        <f t="shared" si="204"/>
        <v>0.94999999999999929</v>
      </c>
      <c r="EO115" s="43">
        <v>56</v>
      </c>
      <c r="EP115" s="43">
        <v>0</v>
      </c>
      <c r="EQ115" s="5"/>
      <c r="ER115" s="5"/>
      <c r="ES115" s="5"/>
      <c r="ET115" s="5"/>
      <c r="EU115" s="5">
        <f t="shared" si="270"/>
        <v>33.350000000000023</v>
      </c>
      <c r="EV115" s="5">
        <f t="shared" si="270"/>
        <v>7.6800000000000068</v>
      </c>
      <c r="EW115" s="5">
        <v>720</v>
      </c>
      <c r="EX115" s="58">
        <v>100</v>
      </c>
      <c r="EY115" s="5">
        <v>760</v>
      </c>
      <c r="EZ115" s="5">
        <v>240</v>
      </c>
    </row>
    <row r="116" spans="1:162" ht="37.5" x14ac:dyDescent="0.25">
      <c r="A116" s="37">
        <v>20</v>
      </c>
      <c r="B116" s="37"/>
      <c r="C116" s="91" t="s">
        <v>160</v>
      </c>
      <c r="D116" s="38" t="s">
        <v>284</v>
      </c>
      <c r="E116" s="39"/>
      <c r="F116" s="40">
        <v>297.16000000000003</v>
      </c>
      <c r="G116" s="40">
        <v>0</v>
      </c>
      <c r="H116" s="40">
        <v>297.16000000000003</v>
      </c>
      <c r="I116" s="40">
        <v>0</v>
      </c>
      <c r="J116" s="41">
        <v>625</v>
      </c>
      <c r="K116" s="41">
        <v>0</v>
      </c>
      <c r="L116" s="41">
        <v>0</v>
      </c>
      <c r="M116" s="41">
        <f t="shared" si="316"/>
        <v>625</v>
      </c>
      <c r="N116" s="41">
        <v>0</v>
      </c>
      <c r="O116" s="41">
        <v>0</v>
      </c>
      <c r="P116" s="41">
        <v>0</v>
      </c>
      <c r="Q116" s="41">
        <f t="shared" si="317"/>
        <v>0</v>
      </c>
      <c r="R116" s="41">
        <f t="shared" si="318"/>
        <v>625</v>
      </c>
      <c r="S116" s="41">
        <v>0</v>
      </c>
      <c r="T116" s="92"/>
      <c r="U116" s="92"/>
      <c r="V116" s="40">
        <f t="shared" si="312"/>
        <v>314.48</v>
      </c>
      <c r="W116" s="40">
        <f t="shared" si="313"/>
        <v>0</v>
      </c>
      <c r="X116" s="43">
        <f t="shared" si="170"/>
        <v>310.52</v>
      </c>
      <c r="Y116" s="43">
        <f t="shared" si="170"/>
        <v>0</v>
      </c>
      <c r="Z116" s="43">
        <v>314.48</v>
      </c>
      <c r="AA116" s="43"/>
      <c r="AB116" s="43">
        <f t="shared" si="182"/>
        <v>314.48</v>
      </c>
      <c r="AC116" s="43">
        <f t="shared" si="183"/>
        <v>0</v>
      </c>
      <c r="AD116" s="43">
        <f t="shared" si="314"/>
        <v>314.48</v>
      </c>
      <c r="AE116" s="43">
        <f t="shared" si="314"/>
        <v>0</v>
      </c>
      <c r="AF116" s="43">
        <f t="shared" si="184"/>
        <v>0</v>
      </c>
      <c r="AG116" s="43">
        <f t="shared" si="171"/>
        <v>79</v>
      </c>
      <c r="AH116" s="43">
        <f t="shared" si="171"/>
        <v>0</v>
      </c>
      <c r="AI116" s="93">
        <f t="shared" si="172"/>
        <v>26</v>
      </c>
      <c r="AJ116" s="43">
        <f t="shared" si="172"/>
        <v>0</v>
      </c>
      <c r="AK116" s="43"/>
      <c r="AL116" s="43"/>
      <c r="AM116" s="43">
        <f t="shared" si="185"/>
        <v>78.62</v>
      </c>
      <c r="AN116" s="43">
        <f t="shared" si="186"/>
        <v>0</v>
      </c>
      <c r="AO116" s="43"/>
      <c r="AP116" s="43"/>
      <c r="AQ116" s="43">
        <f t="shared" si="173"/>
        <v>157.62</v>
      </c>
      <c r="AR116" s="43">
        <f t="shared" si="173"/>
        <v>0</v>
      </c>
      <c r="AS116" s="43"/>
      <c r="AT116" s="43"/>
      <c r="AU116" s="43">
        <f t="shared" si="260"/>
        <v>78.62</v>
      </c>
      <c r="AV116" s="43">
        <f>ROUND(AE116*25%,2)</f>
        <v>0</v>
      </c>
      <c r="AW116" s="43"/>
      <c r="AX116" s="43"/>
      <c r="AY116" s="43">
        <f t="shared" si="166"/>
        <v>262.24</v>
      </c>
      <c r="AZ116" s="43">
        <f t="shared" si="166"/>
        <v>0</v>
      </c>
      <c r="BA116" s="43">
        <f t="shared" si="167"/>
        <v>262.24</v>
      </c>
      <c r="BB116" s="60">
        <v>262.24</v>
      </c>
      <c r="BC116" s="60"/>
      <c r="BD116" s="60">
        <f t="shared" si="168"/>
        <v>0</v>
      </c>
      <c r="BE116" s="60">
        <f t="shared" si="168"/>
        <v>0</v>
      </c>
      <c r="BF116" s="60">
        <f t="shared" si="169"/>
        <v>52.45</v>
      </c>
      <c r="BG116" s="60">
        <f t="shared" si="169"/>
        <v>0</v>
      </c>
      <c r="BH116" s="43">
        <v>26.23</v>
      </c>
      <c r="BI116" s="43">
        <v>0</v>
      </c>
      <c r="BJ116" s="43"/>
      <c r="BK116" s="43"/>
      <c r="BL116" s="43">
        <f t="shared" si="180"/>
        <v>288.47000000000003</v>
      </c>
      <c r="BM116" s="43">
        <f t="shared" si="180"/>
        <v>0</v>
      </c>
      <c r="BN116" s="43">
        <f t="shared" si="187"/>
        <v>288.47000000000003</v>
      </c>
      <c r="BO116" s="43">
        <v>262.24</v>
      </c>
      <c r="BP116" s="93"/>
      <c r="BQ116" s="43">
        <f t="shared" si="188"/>
        <v>26.230000000000018</v>
      </c>
      <c r="BR116" s="43">
        <f t="shared" si="188"/>
        <v>0</v>
      </c>
      <c r="BS116" s="43">
        <f t="shared" si="189"/>
        <v>23.84</v>
      </c>
      <c r="BT116" s="43">
        <f t="shared" si="189"/>
        <v>0</v>
      </c>
      <c r="BU116" s="43">
        <f>25+10</f>
        <v>35</v>
      </c>
      <c r="BV116" s="43">
        <f t="shared" ref="BV116" si="319">ROUND(BT116-BR116,2)</f>
        <v>0</v>
      </c>
      <c r="BW116" s="43"/>
      <c r="BX116" s="43"/>
      <c r="BY116" s="43"/>
      <c r="BZ116" s="43"/>
      <c r="CA116" s="43">
        <v>323.47000000000003</v>
      </c>
      <c r="CB116" s="43">
        <v>0</v>
      </c>
      <c r="CC116" s="92">
        <v>355.82</v>
      </c>
      <c r="CD116" s="92">
        <v>0</v>
      </c>
      <c r="CE116" s="92">
        <v>30</v>
      </c>
      <c r="CF116" s="92">
        <v>0</v>
      </c>
      <c r="CG116" s="92">
        <f t="shared" si="190"/>
        <v>80.87</v>
      </c>
      <c r="CH116" s="92">
        <f t="shared" si="190"/>
        <v>0</v>
      </c>
      <c r="CI116" s="43"/>
      <c r="CJ116" s="43"/>
      <c r="CK116" s="72">
        <f>100-20</f>
        <v>80</v>
      </c>
      <c r="CL116" s="43"/>
      <c r="CM116" s="43"/>
      <c r="CN116" s="43"/>
      <c r="CO116" s="43">
        <v>515</v>
      </c>
      <c r="CP116" s="43"/>
      <c r="CQ116" s="43">
        <f t="shared" si="191"/>
        <v>320</v>
      </c>
      <c r="CR116" s="43">
        <f t="shared" si="191"/>
        <v>0</v>
      </c>
      <c r="CS116" s="43">
        <f t="shared" si="192"/>
        <v>320</v>
      </c>
      <c r="CT116" s="43">
        <f t="shared" si="192"/>
        <v>0</v>
      </c>
      <c r="CU116" s="43">
        <v>390.13</v>
      </c>
      <c r="CV116" s="43">
        <v>0</v>
      </c>
      <c r="CW116" s="43">
        <f t="shared" si="193"/>
        <v>97.53</v>
      </c>
      <c r="CX116" s="43">
        <f t="shared" si="193"/>
        <v>0</v>
      </c>
      <c r="CY116" s="43"/>
      <c r="CZ116" s="43"/>
      <c r="DA116" s="43">
        <f t="shared" si="194"/>
        <v>207.53</v>
      </c>
      <c r="DB116" s="43">
        <f t="shared" si="194"/>
        <v>0</v>
      </c>
      <c r="DC116" s="43">
        <v>207.53</v>
      </c>
      <c r="DD116" s="43">
        <v>0</v>
      </c>
      <c r="DE116" s="43">
        <f t="shared" si="195"/>
        <v>0</v>
      </c>
      <c r="DF116" s="43">
        <f t="shared" si="195"/>
        <v>0</v>
      </c>
      <c r="DG116" s="43">
        <f t="shared" si="315"/>
        <v>97.53</v>
      </c>
      <c r="DH116" s="43">
        <f t="shared" si="315"/>
        <v>0</v>
      </c>
      <c r="DI116" s="43">
        <f t="shared" si="196"/>
        <v>97.53</v>
      </c>
      <c r="DJ116" s="43">
        <f>+DH116-DF116</f>
        <v>0</v>
      </c>
      <c r="DK116" s="43"/>
      <c r="DL116" s="43"/>
      <c r="DM116" s="43">
        <f t="shared" si="197"/>
        <v>305.06</v>
      </c>
      <c r="DN116" s="43">
        <f t="shared" si="197"/>
        <v>0</v>
      </c>
      <c r="DO116" s="94">
        <v>305.06</v>
      </c>
      <c r="DP116" s="95">
        <v>0</v>
      </c>
      <c r="DQ116" s="60">
        <f t="shared" si="198"/>
        <v>0</v>
      </c>
      <c r="DR116" s="60">
        <f t="shared" si="198"/>
        <v>0</v>
      </c>
      <c r="DS116" s="60">
        <f t="shared" si="199"/>
        <v>30.506</v>
      </c>
      <c r="DT116" s="60">
        <f t="shared" si="199"/>
        <v>0</v>
      </c>
      <c r="DU116" s="60">
        <f t="shared" si="200"/>
        <v>30.506</v>
      </c>
      <c r="DV116" s="60">
        <f t="shared" si="200"/>
        <v>0</v>
      </c>
      <c r="DW116" s="60"/>
      <c r="DX116" s="60"/>
      <c r="DY116" s="60">
        <f t="shared" si="214"/>
        <v>30.51</v>
      </c>
      <c r="DZ116" s="60">
        <f t="shared" si="181"/>
        <v>0</v>
      </c>
      <c r="EA116" s="60"/>
      <c r="EB116" s="60"/>
      <c r="EC116" s="43">
        <f t="shared" si="201"/>
        <v>335.57</v>
      </c>
      <c r="ED116" s="43">
        <f t="shared" si="201"/>
        <v>0</v>
      </c>
      <c r="EE116" s="43">
        <v>305.06</v>
      </c>
      <c r="EF116" s="43"/>
      <c r="EG116" s="43">
        <f t="shared" si="245"/>
        <v>90.91</v>
      </c>
      <c r="EH116" s="43" t="e">
        <f t="shared" si="245"/>
        <v>#DIV/0!</v>
      </c>
      <c r="EI116" s="43">
        <f t="shared" si="202"/>
        <v>30.51</v>
      </c>
      <c r="EJ116" s="43">
        <f t="shared" si="202"/>
        <v>0</v>
      </c>
      <c r="EK116" s="43">
        <f t="shared" si="203"/>
        <v>27.73</v>
      </c>
      <c r="EL116" s="43">
        <f t="shared" si="203"/>
        <v>0</v>
      </c>
      <c r="EM116" s="43">
        <f t="shared" si="204"/>
        <v>-2.7800000000000011</v>
      </c>
      <c r="EN116" s="43">
        <f t="shared" si="204"/>
        <v>0</v>
      </c>
      <c r="EO116" s="43">
        <v>54.56</v>
      </c>
      <c r="EP116" s="43">
        <v>0</v>
      </c>
      <c r="EQ116" s="5"/>
      <c r="ER116" s="5"/>
      <c r="ES116" s="5"/>
      <c r="ET116" s="5"/>
      <c r="EU116" s="5">
        <f t="shared" si="270"/>
        <v>0</v>
      </c>
      <c r="EV116" s="5">
        <f t="shared" si="270"/>
        <v>0</v>
      </c>
      <c r="EW116" s="5">
        <v>390.13</v>
      </c>
      <c r="EY116" s="5">
        <v>585</v>
      </c>
    </row>
    <row r="117" spans="1:162" ht="18.75" x14ac:dyDescent="0.25">
      <c r="A117" s="68"/>
      <c r="B117" s="68" t="s">
        <v>285</v>
      </c>
      <c r="C117" s="91" t="s">
        <v>160</v>
      </c>
      <c r="D117" s="67" t="s">
        <v>283</v>
      </c>
      <c r="E117" s="69" t="s">
        <v>286</v>
      </c>
      <c r="F117" s="70">
        <v>864.06</v>
      </c>
      <c r="G117" s="70">
        <v>94.660000000000011</v>
      </c>
      <c r="H117" s="70">
        <v>870.06</v>
      </c>
      <c r="I117" s="70">
        <v>94.660000000000011</v>
      </c>
      <c r="J117" s="71">
        <f t="shared" ref="J117:AA117" si="320">+J115+J116</f>
        <v>1375</v>
      </c>
      <c r="K117" s="71">
        <f t="shared" si="320"/>
        <v>0</v>
      </c>
      <c r="L117" s="71">
        <f t="shared" si="320"/>
        <v>0</v>
      </c>
      <c r="M117" s="71">
        <f t="shared" si="320"/>
        <v>1375</v>
      </c>
      <c r="N117" s="71">
        <f t="shared" si="320"/>
        <v>0</v>
      </c>
      <c r="O117" s="71">
        <f t="shared" si="320"/>
        <v>0</v>
      </c>
      <c r="P117" s="71">
        <f t="shared" si="320"/>
        <v>0</v>
      </c>
      <c r="Q117" s="71">
        <f t="shared" si="320"/>
        <v>0</v>
      </c>
      <c r="R117" s="71">
        <f t="shared" si="320"/>
        <v>1375</v>
      </c>
      <c r="S117" s="71">
        <f t="shared" si="320"/>
        <v>119</v>
      </c>
      <c r="T117" s="71">
        <f t="shared" si="320"/>
        <v>0</v>
      </c>
      <c r="U117" s="71">
        <f t="shared" si="320"/>
        <v>0</v>
      </c>
      <c r="V117" s="71">
        <f t="shared" si="320"/>
        <v>920.78</v>
      </c>
      <c r="W117" s="71">
        <f t="shared" si="320"/>
        <v>97.76</v>
      </c>
      <c r="X117" s="71">
        <f t="shared" si="320"/>
        <v>454.22</v>
      </c>
      <c r="Y117" s="71">
        <f t="shared" si="320"/>
        <v>21.239999999999995</v>
      </c>
      <c r="Z117" s="71">
        <f t="shared" si="320"/>
        <v>920.78</v>
      </c>
      <c r="AA117" s="71">
        <f t="shared" si="320"/>
        <v>0</v>
      </c>
      <c r="AB117" s="70">
        <f t="shared" si="182"/>
        <v>920.78</v>
      </c>
      <c r="AC117" s="43">
        <f t="shared" si="183"/>
        <v>0</v>
      </c>
      <c r="AD117" s="70">
        <f t="shared" ref="AD117:CQ117" si="321">+AD115+AD116</f>
        <v>920.78</v>
      </c>
      <c r="AE117" s="70">
        <f t="shared" si="321"/>
        <v>97.76</v>
      </c>
      <c r="AF117" s="70">
        <f t="shared" si="321"/>
        <v>107.36</v>
      </c>
      <c r="AG117" s="70">
        <f t="shared" si="321"/>
        <v>231</v>
      </c>
      <c r="AH117" s="70">
        <f t="shared" si="321"/>
        <v>24</v>
      </c>
      <c r="AI117" s="96">
        <f t="shared" si="321"/>
        <v>77</v>
      </c>
      <c r="AJ117" s="70">
        <f t="shared" si="321"/>
        <v>8</v>
      </c>
      <c r="AK117" s="70">
        <f t="shared" si="321"/>
        <v>15</v>
      </c>
      <c r="AL117" s="70">
        <f t="shared" si="321"/>
        <v>0</v>
      </c>
      <c r="AM117" s="70">
        <f t="shared" si="321"/>
        <v>230.20000000000002</v>
      </c>
      <c r="AN117" s="70">
        <f t="shared" si="321"/>
        <v>33.260000000000005</v>
      </c>
      <c r="AO117" s="70">
        <f t="shared" si="321"/>
        <v>0</v>
      </c>
      <c r="AP117" s="70">
        <f t="shared" si="321"/>
        <v>26.74</v>
      </c>
      <c r="AQ117" s="70">
        <f t="shared" si="321"/>
        <v>476.20000000000005</v>
      </c>
      <c r="AR117" s="70">
        <f t="shared" si="321"/>
        <v>84</v>
      </c>
      <c r="AS117" s="70">
        <f t="shared" si="321"/>
        <v>20</v>
      </c>
      <c r="AT117" s="70">
        <f t="shared" si="321"/>
        <v>0</v>
      </c>
      <c r="AU117" s="70">
        <f t="shared" si="321"/>
        <v>230.20000000000002</v>
      </c>
      <c r="AV117" s="70">
        <f t="shared" si="321"/>
        <v>0</v>
      </c>
      <c r="AW117" s="70">
        <f t="shared" si="321"/>
        <v>0</v>
      </c>
      <c r="AX117" s="70">
        <f t="shared" si="321"/>
        <v>0</v>
      </c>
      <c r="AY117" s="70">
        <f t="shared" si="321"/>
        <v>803.40000000000009</v>
      </c>
      <c r="AZ117" s="70">
        <f t="shared" si="321"/>
        <v>92</v>
      </c>
      <c r="BA117" s="70">
        <f t="shared" si="321"/>
        <v>895.40000000000009</v>
      </c>
      <c r="BB117" s="70">
        <f t="shared" si="321"/>
        <v>802.02</v>
      </c>
      <c r="BC117" s="70">
        <f t="shared" si="321"/>
        <v>84.62</v>
      </c>
      <c r="BD117" s="70">
        <f t="shared" si="321"/>
        <v>1.3800000000001091</v>
      </c>
      <c r="BE117" s="70">
        <f t="shared" si="321"/>
        <v>7.3799999999999955</v>
      </c>
      <c r="BF117" s="70">
        <f t="shared" si="321"/>
        <v>160.41</v>
      </c>
      <c r="BG117" s="96">
        <f t="shared" si="321"/>
        <v>16.920000000000002</v>
      </c>
      <c r="BH117" s="96">
        <f t="shared" si="321"/>
        <v>79.52</v>
      </c>
      <c r="BI117" s="96">
        <f t="shared" si="321"/>
        <v>0</v>
      </c>
      <c r="BJ117" s="96">
        <f t="shared" si="321"/>
        <v>0</v>
      </c>
      <c r="BK117" s="96">
        <f t="shared" si="321"/>
        <v>0</v>
      </c>
      <c r="BL117" s="96">
        <f t="shared" si="321"/>
        <v>882.92000000000007</v>
      </c>
      <c r="BM117" s="96">
        <f t="shared" si="321"/>
        <v>92</v>
      </c>
      <c r="BN117" s="96">
        <f t="shared" si="321"/>
        <v>974.92000000000007</v>
      </c>
      <c r="BO117" s="96">
        <f t="shared" si="321"/>
        <v>854.71</v>
      </c>
      <c r="BP117" s="96">
        <f t="shared" si="321"/>
        <v>57.59</v>
      </c>
      <c r="BQ117" s="70">
        <f t="shared" si="321"/>
        <v>28.210000000000036</v>
      </c>
      <c r="BR117" s="70">
        <f t="shared" si="321"/>
        <v>34.409999999999997</v>
      </c>
      <c r="BS117" s="70">
        <f t="shared" si="321"/>
        <v>77.7</v>
      </c>
      <c r="BT117" s="70">
        <f t="shared" si="321"/>
        <v>5.24</v>
      </c>
      <c r="BU117" s="70">
        <f t="shared" si="321"/>
        <v>90</v>
      </c>
      <c r="BV117" s="70">
        <f t="shared" si="321"/>
        <v>0</v>
      </c>
      <c r="BW117" s="70">
        <f t="shared" si="321"/>
        <v>0</v>
      </c>
      <c r="BX117" s="70">
        <f t="shared" si="321"/>
        <v>51.25</v>
      </c>
      <c r="BY117" s="70">
        <f t="shared" si="321"/>
        <v>0</v>
      </c>
      <c r="BZ117" s="70">
        <f t="shared" si="321"/>
        <v>0</v>
      </c>
      <c r="CA117" s="70">
        <f t="shared" si="321"/>
        <v>972.92000000000007</v>
      </c>
      <c r="CB117" s="70">
        <f t="shared" si="321"/>
        <v>143.25</v>
      </c>
      <c r="CC117" s="70">
        <f t="shared" si="321"/>
        <v>1070.22</v>
      </c>
      <c r="CD117" s="70">
        <f t="shared" si="321"/>
        <v>164.74</v>
      </c>
      <c r="CE117" s="70">
        <f t="shared" si="321"/>
        <v>90</v>
      </c>
      <c r="CF117" s="70">
        <f t="shared" si="321"/>
        <v>14</v>
      </c>
      <c r="CG117" s="70">
        <f t="shared" si="321"/>
        <v>243.23000000000002</v>
      </c>
      <c r="CH117" s="96">
        <f t="shared" si="321"/>
        <v>35.81</v>
      </c>
      <c r="CI117" s="70">
        <f t="shared" si="321"/>
        <v>0</v>
      </c>
      <c r="CJ117" s="70">
        <f t="shared" si="321"/>
        <v>0</v>
      </c>
      <c r="CK117" s="70">
        <f t="shared" si="321"/>
        <v>260</v>
      </c>
      <c r="CL117" s="70">
        <f t="shared" si="321"/>
        <v>51</v>
      </c>
      <c r="CM117" s="70">
        <f t="shared" si="321"/>
        <v>0</v>
      </c>
      <c r="CN117" s="70">
        <f t="shared" si="321"/>
        <v>0</v>
      </c>
      <c r="CO117" s="70">
        <f t="shared" si="321"/>
        <v>1265</v>
      </c>
      <c r="CP117" s="70">
        <f t="shared" si="321"/>
        <v>85</v>
      </c>
      <c r="CQ117" s="70">
        <f t="shared" si="321"/>
        <v>1040</v>
      </c>
      <c r="CR117" s="70">
        <f t="shared" ref="CR117:FC117" si="322">+CR115+CR116</f>
        <v>204</v>
      </c>
      <c r="CS117" s="70">
        <f t="shared" si="322"/>
        <v>1040</v>
      </c>
      <c r="CT117" s="70">
        <f t="shared" si="322"/>
        <v>85</v>
      </c>
      <c r="CU117" s="70">
        <f t="shared" si="322"/>
        <v>1110.1300000000001</v>
      </c>
      <c r="CV117" s="70">
        <f t="shared" si="322"/>
        <v>100</v>
      </c>
      <c r="CW117" s="70">
        <f t="shared" si="322"/>
        <v>277.52999999999997</v>
      </c>
      <c r="CX117" s="70">
        <f t="shared" si="322"/>
        <v>0</v>
      </c>
      <c r="CY117" s="70">
        <f t="shared" si="322"/>
        <v>0</v>
      </c>
      <c r="CZ117" s="70">
        <f t="shared" si="322"/>
        <v>12</v>
      </c>
      <c r="DA117" s="70">
        <f t="shared" si="322"/>
        <v>627.53</v>
      </c>
      <c r="DB117" s="70">
        <f t="shared" si="322"/>
        <v>77</v>
      </c>
      <c r="DC117" s="70">
        <f t="shared" si="322"/>
        <v>607.42999999999995</v>
      </c>
      <c r="DD117" s="70">
        <f t="shared" si="322"/>
        <v>76.599999999999994</v>
      </c>
      <c r="DE117" s="70">
        <f t="shared" si="322"/>
        <v>20.100000000000023</v>
      </c>
      <c r="DF117" s="70">
        <f t="shared" si="322"/>
        <v>0.40000000000000568</v>
      </c>
      <c r="DG117" s="70">
        <f t="shared" si="322"/>
        <v>277.52999999999997</v>
      </c>
      <c r="DH117" s="70">
        <f t="shared" si="322"/>
        <v>25</v>
      </c>
      <c r="DI117" s="70">
        <f t="shared" si="322"/>
        <v>257.42999999999995</v>
      </c>
      <c r="DJ117" s="70">
        <f t="shared" si="322"/>
        <v>0</v>
      </c>
      <c r="DK117" s="70">
        <f t="shared" si="322"/>
        <v>0</v>
      </c>
      <c r="DL117" s="70">
        <f t="shared" si="322"/>
        <v>12</v>
      </c>
      <c r="DM117" s="70">
        <f t="shared" si="322"/>
        <v>884.96</v>
      </c>
      <c r="DN117" s="70">
        <f t="shared" si="322"/>
        <v>89</v>
      </c>
      <c r="DO117" s="70">
        <f t="shared" si="322"/>
        <v>878.38000000000011</v>
      </c>
      <c r="DP117" s="70">
        <f t="shared" si="322"/>
        <v>83.93</v>
      </c>
      <c r="DQ117" s="70">
        <f t="shared" si="322"/>
        <v>6.58</v>
      </c>
      <c r="DR117" s="70">
        <f t="shared" si="322"/>
        <v>5.07</v>
      </c>
      <c r="DS117" s="70">
        <f t="shared" si="322"/>
        <v>87.838000000000008</v>
      </c>
      <c r="DT117" s="70">
        <f t="shared" si="322"/>
        <v>8.3930000000000007</v>
      </c>
      <c r="DU117" s="70">
        <f t="shared" si="322"/>
        <v>81.25800000000001</v>
      </c>
      <c r="DV117" s="70">
        <f t="shared" si="322"/>
        <v>3.3230000000000004</v>
      </c>
      <c r="DW117" s="70">
        <f t="shared" si="322"/>
        <v>0</v>
      </c>
      <c r="DX117" s="70">
        <f t="shared" si="322"/>
        <v>0</v>
      </c>
      <c r="DY117" s="70">
        <f t="shared" si="322"/>
        <v>81.260000000000005</v>
      </c>
      <c r="DZ117" s="70">
        <f t="shared" si="322"/>
        <v>3.32</v>
      </c>
      <c r="EA117" s="70">
        <f t="shared" si="322"/>
        <v>0</v>
      </c>
      <c r="EB117" s="96">
        <f t="shared" si="322"/>
        <v>0</v>
      </c>
      <c r="EC117" s="70">
        <f t="shared" si="322"/>
        <v>966.22</v>
      </c>
      <c r="ED117" s="70">
        <f t="shared" si="322"/>
        <v>92.32</v>
      </c>
      <c r="EE117" s="70">
        <f t="shared" si="322"/>
        <v>932.07999999999993</v>
      </c>
      <c r="EF117" s="70">
        <f t="shared" si="322"/>
        <v>85.5</v>
      </c>
      <c r="EG117" s="70">
        <f t="shared" si="322"/>
        <v>190.32999999999998</v>
      </c>
      <c r="EH117" s="70" t="e">
        <f t="shared" si="322"/>
        <v>#DIV/0!</v>
      </c>
      <c r="EI117" s="70">
        <f t="shared" si="322"/>
        <v>34.14</v>
      </c>
      <c r="EJ117" s="70">
        <f t="shared" si="322"/>
        <v>6.82</v>
      </c>
      <c r="EK117" s="70">
        <f t="shared" si="322"/>
        <v>84.73</v>
      </c>
      <c r="EL117" s="70">
        <f t="shared" si="322"/>
        <v>7.77</v>
      </c>
      <c r="EM117" s="70">
        <f t="shared" si="322"/>
        <v>50.589999999999996</v>
      </c>
      <c r="EN117" s="70">
        <f t="shared" si="322"/>
        <v>0.94999999999999929</v>
      </c>
      <c r="EO117" s="70">
        <f t="shared" si="322"/>
        <v>110.56</v>
      </c>
      <c r="EP117" s="70">
        <f t="shared" si="322"/>
        <v>0</v>
      </c>
      <c r="EQ117" s="66">
        <f t="shared" si="322"/>
        <v>0</v>
      </c>
      <c r="ER117" s="46">
        <f t="shared" si="322"/>
        <v>0</v>
      </c>
      <c r="ES117" s="46">
        <f t="shared" si="322"/>
        <v>0</v>
      </c>
      <c r="ET117" s="46">
        <f t="shared" si="322"/>
        <v>0</v>
      </c>
      <c r="EU117" s="5">
        <f t="shared" si="270"/>
        <v>33.35000000000008</v>
      </c>
      <c r="EV117" s="5">
        <f t="shared" si="270"/>
        <v>7.6800000000000068</v>
      </c>
      <c r="EW117" s="46">
        <f t="shared" si="322"/>
        <v>1110.1300000000001</v>
      </c>
      <c r="EX117" s="46">
        <f t="shared" si="322"/>
        <v>100</v>
      </c>
      <c r="EY117" s="46">
        <f t="shared" si="322"/>
        <v>1345</v>
      </c>
      <c r="EZ117" s="46">
        <f t="shared" si="322"/>
        <v>240</v>
      </c>
      <c r="FA117" s="46">
        <f t="shared" si="322"/>
        <v>0</v>
      </c>
      <c r="FB117" s="46">
        <f t="shared" si="322"/>
        <v>0</v>
      </c>
      <c r="FC117" s="46">
        <f t="shared" si="322"/>
        <v>0</v>
      </c>
      <c r="FD117" s="46">
        <f t="shared" ref="FD117:FF117" si="323">+FD115+FD116</f>
        <v>0</v>
      </c>
      <c r="FE117" s="46">
        <f t="shared" si="323"/>
        <v>0</v>
      </c>
      <c r="FF117" s="46">
        <f t="shared" si="323"/>
        <v>0</v>
      </c>
    </row>
    <row r="118" spans="1:162" ht="18.75" x14ac:dyDescent="0.25">
      <c r="A118" s="68">
        <v>21</v>
      </c>
      <c r="B118" s="68" t="s">
        <v>287</v>
      </c>
      <c r="C118" s="91" t="s">
        <v>102</v>
      </c>
      <c r="D118" s="67" t="s">
        <v>288</v>
      </c>
      <c r="E118" s="69" t="s">
        <v>289</v>
      </c>
      <c r="F118" s="40">
        <v>779.47</v>
      </c>
      <c r="G118" s="40">
        <v>145.17000000000002</v>
      </c>
      <c r="H118" s="40">
        <v>779.47</v>
      </c>
      <c r="I118" s="70">
        <v>270</v>
      </c>
      <c r="J118" s="71">
        <v>850</v>
      </c>
      <c r="K118" s="71">
        <v>70</v>
      </c>
      <c r="L118" s="71">
        <v>1</v>
      </c>
      <c r="M118" s="71">
        <f>+J118+K118+L118</f>
        <v>921</v>
      </c>
      <c r="N118" s="71">
        <v>0</v>
      </c>
      <c r="O118" s="71">
        <v>0</v>
      </c>
      <c r="P118" s="71">
        <v>0</v>
      </c>
      <c r="Q118" s="71">
        <f>+N118+O118+P118</f>
        <v>0</v>
      </c>
      <c r="R118" s="71">
        <f>+Q118+M118</f>
        <v>921</v>
      </c>
      <c r="S118" s="71">
        <v>115</v>
      </c>
      <c r="T118" s="92"/>
      <c r="U118" s="92"/>
      <c r="V118" s="70">
        <f t="shared" ref="V118:V121" si="324">ROUND(H118*1.0583,2)</f>
        <v>824.91</v>
      </c>
      <c r="W118" s="70">
        <f t="shared" ref="W118:W121" si="325">ROUND(I118*1.0327,2)</f>
        <v>278.83</v>
      </c>
      <c r="X118" s="70">
        <f t="shared" si="170"/>
        <v>96.090000000000032</v>
      </c>
      <c r="Y118" s="70">
        <f t="shared" si="170"/>
        <v>-163.82999999999998</v>
      </c>
      <c r="Z118" s="70">
        <v>824.91</v>
      </c>
      <c r="AA118" s="70"/>
      <c r="AB118" s="70">
        <f t="shared" si="182"/>
        <v>824.91</v>
      </c>
      <c r="AC118" s="43">
        <f t="shared" si="183"/>
        <v>0</v>
      </c>
      <c r="AD118" s="70">
        <f t="shared" ref="AD118:AE121" si="326">IF(X118&gt;0,V118,R118)</f>
        <v>824.91</v>
      </c>
      <c r="AE118" s="70">
        <f t="shared" si="326"/>
        <v>115</v>
      </c>
      <c r="AF118" s="70">
        <f t="shared" si="184"/>
        <v>103.75</v>
      </c>
      <c r="AG118" s="43">
        <f t="shared" si="171"/>
        <v>206</v>
      </c>
      <c r="AH118" s="43">
        <f t="shared" si="171"/>
        <v>29</v>
      </c>
      <c r="AI118" s="93">
        <f t="shared" si="172"/>
        <v>69</v>
      </c>
      <c r="AJ118" s="43">
        <f t="shared" si="172"/>
        <v>10</v>
      </c>
      <c r="AK118" s="43"/>
      <c r="AL118" s="43"/>
      <c r="AM118" s="43">
        <f t="shared" si="185"/>
        <v>206.23</v>
      </c>
      <c r="AN118" s="43">
        <f t="shared" si="186"/>
        <v>28</v>
      </c>
      <c r="AO118" s="43"/>
      <c r="AP118" s="43"/>
      <c r="AQ118" s="43">
        <f t="shared" si="173"/>
        <v>412.23</v>
      </c>
      <c r="AR118" s="43">
        <f t="shared" si="173"/>
        <v>57</v>
      </c>
      <c r="AS118" s="43"/>
      <c r="AT118" s="43"/>
      <c r="AU118" s="43">
        <f t="shared" si="260"/>
        <v>206.23</v>
      </c>
      <c r="AV118" s="43">
        <v>3</v>
      </c>
      <c r="AW118" s="43"/>
      <c r="AX118" s="43"/>
      <c r="AY118" s="43">
        <f t="shared" si="166"/>
        <v>687.46</v>
      </c>
      <c r="AZ118" s="43">
        <f t="shared" si="166"/>
        <v>70</v>
      </c>
      <c r="BA118" s="43">
        <f t="shared" si="167"/>
        <v>757.46</v>
      </c>
      <c r="BB118" s="60">
        <v>731.91</v>
      </c>
      <c r="BC118" s="60">
        <v>58.28</v>
      </c>
      <c r="BD118" s="60">
        <f t="shared" si="168"/>
        <v>-44.449999999999932</v>
      </c>
      <c r="BE118" s="60">
        <f t="shared" si="168"/>
        <v>11.719999999999999</v>
      </c>
      <c r="BF118" s="60">
        <f t="shared" si="169"/>
        <v>146.38</v>
      </c>
      <c r="BG118" s="60">
        <f t="shared" si="169"/>
        <v>11.66</v>
      </c>
      <c r="BH118" s="43">
        <v>95.42</v>
      </c>
      <c r="BI118" s="43">
        <v>0</v>
      </c>
      <c r="BJ118" s="43"/>
      <c r="BK118" s="43"/>
      <c r="BL118" s="43">
        <f t="shared" si="180"/>
        <v>782.88</v>
      </c>
      <c r="BM118" s="43">
        <f t="shared" si="180"/>
        <v>70</v>
      </c>
      <c r="BN118" s="43">
        <f t="shared" si="187"/>
        <v>852.88</v>
      </c>
      <c r="BO118" s="43">
        <v>813.96</v>
      </c>
      <c r="BP118" s="93">
        <v>65.5</v>
      </c>
      <c r="BQ118" s="43">
        <f t="shared" si="188"/>
        <v>-31.080000000000041</v>
      </c>
      <c r="BR118" s="43">
        <f t="shared" si="188"/>
        <v>4.5</v>
      </c>
      <c r="BS118" s="43">
        <f t="shared" si="189"/>
        <v>74</v>
      </c>
      <c r="BT118" s="43">
        <f t="shared" si="189"/>
        <v>5.95</v>
      </c>
      <c r="BU118" s="43">
        <f t="shared" ref="BU118:BU120" si="327">ROUND(BS118-BQ118,2)</f>
        <v>105.08</v>
      </c>
      <c r="BV118" s="43">
        <v>0</v>
      </c>
      <c r="BW118" s="43"/>
      <c r="BX118" s="43"/>
      <c r="BY118" s="43"/>
      <c r="BZ118" s="43"/>
      <c r="CA118" s="43">
        <v>887.96</v>
      </c>
      <c r="CB118" s="43">
        <v>70</v>
      </c>
      <c r="CC118" s="92">
        <v>976.76</v>
      </c>
      <c r="CD118" s="92">
        <v>80.5</v>
      </c>
      <c r="CE118" s="92">
        <v>81</v>
      </c>
      <c r="CF118" s="92">
        <v>7</v>
      </c>
      <c r="CG118" s="92">
        <f t="shared" si="190"/>
        <v>221.99</v>
      </c>
      <c r="CH118" s="92">
        <f t="shared" si="190"/>
        <v>17.5</v>
      </c>
      <c r="CI118" s="43"/>
      <c r="CJ118" s="43"/>
      <c r="CK118" s="72">
        <f>262-12</f>
        <v>250</v>
      </c>
      <c r="CL118" s="72">
        <f>130-30</f>
        <v>100</v>
      </c>
      <c r="CM118" s="72">
        <v>14</v>
      </c>
      <c r="CN118" s="72">
        <v>22</v>
      </c>
      <c r="CO118" s="43">
        <v>930</v>
      </c>
      <c r="CP118" s="43">
        <v>150</v>
      </c>
      <c r="CQ118" s="43">
        <f t="shared" si="191"/>
        <v>1000</v>
      </c>
      <c r="CR118" s="43">
        <f t="shared" si="191"/>
        <v>400</v>
      </c>
      <c r="CS118" s="43">
        <f t="shared" si="192"/>
        <v>930</v>
      </c>
      <c r="CT118" s="43">
        <f t="shared" si="192"/>
        <v>150</v>
      </c>
      <c r="CU118" s="43">
        <f t="shared" si="192"/>
        <v>930</v>
      </c>
      <c r="CV118" s="43">
        <f t="shared" si="192"/>
        <v>150</v>
      </c>
      <c r="CW118" s="43">
        <f t="shared" si="193"/>
        <v>232.5</v>
      </c>
      <c r="CX118" s="43">
        <f>ROUND(CV118*25%,2)-16.5</f>
        <v>21</v>
      </c>
      <c r="CY118" s="43"/>
      <c r="CZ118" s="43"/>
      <c r="DA118" s="43">
        <f t="shared" si="194"/>
        <v>577.5</v>
      </c>
      <c r="DB118" s="43">
        <f t="shared" si="194"/>
        <v>150</v>
      </c>
      <c r="DC118" s="43">
        <v>566.99</v>
      </c>
      <c r="DD118" s="43">
        <v>130.30000000000001</v>
      </c>
      <c r="DE118" s="43">
        <f t="shared" si="195"/>
        <v>10.509999999999991</v>
      </c>
      <c r="DF118" s="43">
        <f t="shared" si="195"/>
        <v>19.699999999999989</v>
      </c>
      <c r="DG118" s="43">
        <f>ROUND(0.25*(MIN(CU118,EW118)),2)</f>
        <v>232.5</v>
      </c>
      <c r="DH118" s="43">
        <f>ROUND(0.25*(MIN(CV118,EX118)),2)</f>
        <v>37.5</v>
      </c>
      <c r="DI118" s="43">
        <f t="shared" si="196"/>
        <v>221.99</v>
      </c>
      <c r="DJ118" s="43">
        <f>+DH118-DF118-17.8</f>
        <v>0</v>
      </c>
      <c r="DK118" s="43">
        <v>34.049999999999997</v>
      </c>
      <c r="DL118" s="43"/>
      <c r="DM118" s="43">
        <f t="shared" si="197"/>
        <v>833.54</v>
      </c>
      <c r="DN118" s="43">
        <f t="shared" si="197"/>
        <v>150</v>
      </c>
      <c r="DO118" s="94">
        <v>828.3</v>
      </c>
      <c r="DP118" s="95">
        <v>155.24</v>
      </c>
      <c r="DQ118" s="60">
        <f t="shared" si="198"/>
        <v>5.24</v>
      </c>
      <c r="DR118" s="60">
        <f t="shared" si="198"/>
        <v>-5.24</v>
      </c>
      <c r="DS118" s="60">
        <f t="shared" si="199"/>
        <v>82.83</v>
      </c>
      <c r="DT118" s="60">
        <f t="shared" si="199"/>
        <v>15.524000000000001</v>
      </c>
      <c r="DU118" s="60">
        <f t="shared" si="200"/>
        <v>77.59</v>
      </c>
      <c r="DV118" s="60">
        <f t="shared" si="200"/>
        <v>20.764000000000003</v>
      </c>
      <c r="DW118" s="60"/>
      <c r="DX118" s="60">
        <v>8.7100000000000009</v>
      </c>
      <c r="DY118" s="60">
        <f t="shared" si="214"/>
        <v>77.59</v>
      </c>
      <c r="DZ118" s="60">
        <f>ROUND(DV118+DX118,2)-26.47</f>
        <v>3</v>
      </c>
      <c r="EA118" s="60"/>
      <c r="EB118" s="60"/>
      <c r="EC118" s="43">
        <f t="shared" si="201"/>
        <v>911.13</v>
      </c>
      <c r="ED118" s="43">
        <f t="shared" si="201"/>
        <v>153</v>
      </c>
      <c r="EE118" s="43">
        <v>904.88</v>
      </c>
      <c r="EF118" s="43">
        <v>155.49</v>
      </c>
      <c r="EG118" s="43">
        <f t="shared" si="245"/>
        <v>99.31</v>
      </c>
      <c r="EH118" s="43">
        <f t="shared" si="245"/>
        <v>101.63</v>
      </c>
      <c r="EI118" s="43">
        <f t="shared" si="202"/>
        <v>6.25</v>
      </c>
      <c r="EJ118" s="43">
        <f t="shared" si="202"/>
        <v>-2.4900000000000002</v>
      </c>
      <c r="EK118" s="43">
        <f t="shared" si="203"/>
        <v>82.26</v>
      </c>
      <c r="EL118" s="43">
        <f t="shared" si="203"/>
        <v>14.14</v>
      </c>
      <c r="EM118" s="43">
        <f t="shared" si="204"/>
        <v>76.010000000000005</v>
      </c>
      <c r="EN118" s="43">
        <f t="shared" si="204"/>
        <v>16.630000000000003</v>
      </c>
      <c r="EO118" s="43">
        <v>81</v>
      </c>
      <c r="EP118" s="43">
        <v>4</v>
      </c>
      <c r="EQ118" s="5"/>
      <c r="ER118" s="5"/>
      <c r="ES118" s="5"/>
      <c r="ET118" s="5"/>
      <c r="EU118" s="5">
        <f t="shared" si="270"/>
        <v>-22.129999999999995</v>
      </c>
      <c r="EV118" s="5">
        <f t="shared" si="270"/>
        <v>-4</v>
      </c>
      <c r="EW118" s="5">
        <v>970</v>
      </c>
      <c r="EX118" s="5">
        <v>153</v>
      </c>
      <c r="EY118" s="5">
        <v>1020</v>
      </c>
      <c r="EZ118" s="5">
        <v>145</v>
      </c>
    </row>
    <row r="119" spans="1:162" ht="18.75" x14ac:dyDescent="0.25">
      <c r="A119" s="68">
        <v>22</v>
      </c>
      <c r="B119" s="68" t="s">
        <v>290</v>
      </c>
      <c r="C119" s="91" t="s">
        <v>102</v>
      </c>
      <c r="D119" s="67" t="s">
        <v>291</v>
      </c>
      <c r="E119" s="69" t="s">
        <v>292</v>
      </c>
      <c r="F119" s="40">
        <v>614.54000000000008</v>
      </c>
      <c r="G119" s="40">
        <v>104.55000000000001</v>
      </c>
      <c r="H119" s="40">
        <v>614.54000000000008</v>
      </c>
      <c r="I119" s="70">
        <v>104.55000000000001</v>
      </c>
      <c r="J119" s="71">
        <v>625</v>
      </c>
      <c r="K119" s="71">
        <v>0</v>
      </c>
      <c r="L119" s="71">
        <v>0</v>
      </c>
      <c r="M119" s="71">
        <f>+J119+K119+L119</f>
        <v>625</v>
      </c>
      <c r="N119" s="71">
        <v>0</v>
      </c>
      <c r="O119" s="71">
        <v>0</v>
      </c>
      <c r="P119" s="71">
        <v>0</v>
      </c>
      <c r="Q119" s="71">
        <f>+N119+O119+P119</f>
        <v>0</v>
      </c>
      <c r="R119" s="71">
        <f>+Q119+M119</f>
        <v>625</v>
      </c>
      <c r="S119" s="71">
        <v>15</v>
      </c>
      <c r="T119" s="92"/>
      <c r="U119" s="92"/>
      <c r="V119" s="70">
        <f t="shared" si="324"/>
        <v>650.37</v>
      </c>
      <c r="W119" s="70">
        <f t="shared" si="325"/>
        <v>107.97</v>
      </c>
      <c r="X119" s="70">
        <f t="shared" si="170"/>
        <v>-25.370000000000005</v>
      </c>
      <c r="Y119" s="70">
        <f t="shared" si="170"/>
        <v>-92.97</v>
      </c>
      <c r="Z119" s="70">
        <v>625</v>
      </c>
      <c r="AA119" s="70"/>
      <c r="AB119" s="70">
        <f t="shared" si="182"/>
        <v>625</v>
      </c>
      <c r="AC119" s="43">
        <f t="shared" si="183"/>
        <v>0</v>
      </c>
      <c r="AD119" s="70">
        <f t="shared" si="326"/>
        <v>625</v>
      </c>
      <c r="AE119" s="70">
        <f>IF(Y119&gt;0,W119,S119)+10</f>
        <v>25</v>
      </c>
      <c r="AF119" s="70">
        <f t="shared" si="184"/>
        <v>13.53</v>
      </c>
      <c r="AG119" s="43">
        <f t="shared" si="171"/>
        <v>156</v>
      </c>
      <c r="AH119" s="43">
        <f>ROUND(AE119/4,0)-2</f>
        <v>4</v>
      </c>
      <c r="AI119" s="93">
        <f t="shared" si="172"/>
        <v>52</v>
      </c>
      <c r="AJ119" s="43">
        <f>ROUND(AE119/12,0)-1</f>
        <v>1</v>
      </c>
      <c r="AK119" s="43"/>
      <c r="AL119" s="43">
        <v>10</v>
      </c>
      <c r="AM119" s="43">
        <f t="shared" si="185"/>
        <v>156.25</v>
      </c>
      <c r="AN119" s="43">
        <f>ROUND(AE119*24.35%,2)-3.65-2.44</f>
        <v>0</v>
      </c>
      <c r="AO119" s="43"/>
      <c r="AP119" s="43"/>
      <c r="AQ119" s="43">
        <f t="shared" si="173"/>
        <v>312.25</v>
      </c>
      <c r="AR119" s="43">
        <f t="shared" si="173"/>
        <v>14</v>
      </c>
      <c r="AS119" s="43">
        <v>24.5</v>
      </c>
      <c r="AT119" s="43">
        <v>10</v>
      </c>
      <c r="AU119" s="43">
        <f t="shared" si="260"/>
        <v>156.25</v>
      </c>
      <c r="AV119" s="43">
        <v>0</v>
      </c>
      <c r="AW119" s="43">
        <v>33.33</v>
      </c>
      <c r="AX119" s="43">
        <v>20</v>
      </c>
      <c r="AY119" s="43">
        <f t="shared" si="166"/>
        <v>578.33000000000004</v>
      </c>
      <c r="AZ119" s="43">
        <f t="shared" si="166"/>
        <v>45</v>
      </c>
      <c r="BA119" s="43">
        <f t="shared" si="167"/>
        <v>623.33000000000004</v>
      </c>
      <c r="BB119" s="60">
        <v>564.29999999999995</v>
      </c>
      <c r="BC119" s="60">
        <v>23.96</v>
      </c>
      <c r="BD119" s="60">
        <f t="shared" si="168"/>
        <v>14.030000000000086</v>
      </c>
      <c r="BE119" s="60">
        <f t="shared" si="168"/>
        <v>21.04</v>
      </c>
      <c r="BF119" s="60">
        <f t="shared" si="169"/>
        <v>112.86</v>
      </c>
      <c r="BG119" s="60">
        <f t="shared" si="169"/>
        <v>4.79</v>
      </c>
      <c r="BH119" s="43">
        <v>45.84</v>
      </c>
      <c r="BI119" s="43">
        <v>0</v>
      </c>
      <c r="BJ119" s="43"/>
      <c r="BK119" s="43"/>
      <c r="BL119" s="43">
        <f t="shared" si="180"/>
        <v>624.17000000000007</v>
      </c>
      <c r="BM119" s="43">
        <f t="shared" si="180"/>
        <v>45</v>
      </c>
      <c r="BN119" s="43">
        <f t="shared" si="187"/>
        <v>669.17000000000007</v>
      </c>
      <c r="BO119" s="43">
        <v>623.27</v>
      </c>
      <c r="BP119" s="93">
        <v>24.19</v>
      </c>
      <c r="BQ119" s="43">
        <f t="shared" si="188"/>
        <v>0.90000000000009095</v>
      </c>
      <c r="BR119" s="43">
        <f t="shared" si="188"/>
        <v>20.81</v>
      </c>
      <c r="BS119" s="43">
        <f t="shared" si="189"/>
        <v>56.66</v>
      </c>
      <c r="BT119" s="43">
        <f t="shared" si="189"/>
        <v>2.2000000000000002</v>
      </c>
      <c r="BU119" s="43">
        <f t="shared" si="327"/>
        <v>55.76</v>
      </c>
      <c r="BV119" s="43">
        <v>0</v>
      </c>
      <c r="BW119" s="43"/>
      <c r="BX119" s="43">
        <v>0.6</v>
      </c>
      <c r="BY119" s="43"/>
      <c r="BZ119" s="43"/>
      <c r="CA119" s="43">
        <v>679.93000000000006</v>
      </c>
      <c r="CB119" s="43">
        <v>45.6</v>
      </c>
      <c r="CC119" s="92">
        <v>747.92</v>
      </c>
      <c r="CD119" s="92">
        <v>52.44</v>
      </c>
      <c r="CE119" s="92">
        <v>62</v>
      </c>
      <c r="CF119" s="92">
        <v>4</v>
      </c>
      <c r="CG119" s="92">
        <f t="shared" si="190"/>
        <v>169.98</v>
      </c>
      <c r="CH119" s="92">
        <f t="shared" si="190"/>
        <v>11.4</v>
      </c>
      <c r="CI119" s="43"/>
      <c r="CJ119" s="43"/>
      <c r="CK119" s="43">
        <v>180</v>
      </c>
      <c r="CL119" s="43">
        <v>1.5</v>
      </c>
      <c r="CM119" s="43"/>
      <c r="CN119" s="43"/>
      <c r="CO119" s="43">
        <v>800</v>
      </c>
      <c r="CP119" s="43">
        <v>65</v>
      </c>
      <c r="CQ119" s="43">
        <f t="shared" si="191"/>
        <v>720</v>
      </c>
      <c r="CR119" s="43">
        <f t="shared" si="191"/>
        <v>6</v>
      </c>
      <c r="CS119" s="43">
        <f t="shared" si="192"/>
        <v>720</v>
      </c>
      <c r="CT119" s="43">
        <f t="shared" si="192"/>
        <v>6</v>
      </c>
      <c r="CU119" s="43">
        <v>750</v>
      </c>
      <c r="CV119" s="43">
        <f>18+6</f>
        <v>24</v>
      </c>
      <c r="CW119" s="43">
        <v>187.5</v>
      </c>
      <c r="CX119" s="43">
        <v>0</v>
      </c>
      <c r="CY119" s="43"/>
      <c r="CZ119" s="43"/>
      <c r="DA119" s="43">
        <v>429.5</v>
      </c>
      <c r="DB119" s="43">
        <v>5.5</v>
      </c>
      <c r="DC119" s="43">
        <v>427.61</v>
      </c>
      <c r="DD119" s="43">
        <v>2.08</v>
      </c>
      <c r="DE119" s="43">
        <v>1.8899999999999864</v>
      </c>
      <c r="DF119" s="43">
        <v>3.42</v>
      </c>
      <c r="DG119" s="43">
        <v>187.5</v>
      </c>
      <c r="DH119" s="43">
        <v>1.5</v>
      </c>
      <c r="DI119" s="43">
        <v>185.61</v>
      </c>
      <c r="DJ119" s="43">
        <v>0</v>
      </c>
      <c r="DK119" s="43">
        <v>25</v>
      </c>
      <c r="DL119" s="43">
        <v>18.5</v>
      </c>
      <c r="DM119" s="43">
        <f t="shared" si="197"/>
        <v>640.11</v>
      </c>
      <c r="DN119" s="43">
        <f t="shared" si="197"/>
        <v>24</v>
      </c>
      <c r="DO119" s="94">
        <v>615.71</v>
      </c>
      <c r="DP119" s="95">
        <v>2.36</v>
      </c>
      <c r="DQ119" s="60">
        <f t="shared" si="198"/>
        <v>24.4</v>
      </c>
      <c r="DR119" s="60">
        <f t="shared" si="198"/>
        <v>21.64</v>
      </c>
      <c r="DS119" s="60">
        <f t="shared" si="199"/>
        <v>61.571000000000005</v>
      </c>
      <c r="DT119" s="60">
        <f t="shared" si="199"/>
        <v>0.23599999999999999</v>
      </c>
      <c r="DU119" s="60">
        <f t="shared" si="200"/>
        <v>37.171000000000006</v>
      </c>
      <c r="DV119" s="60">
        <f t="shared" si="200"/>
        <v>-21.404</v>
      </c>
      <c r="DW119" s="60"/>
      <c r="DX119" s="60"/>
      <c r="DY119" s="60">
        <f t="shared" si="214"/>
        <v>37.17</v>
      </c>
      <c r="DZ119" s="60">
        <v>0</v>
      </c>
      <c r="EA119" s="60">
        <v>28.5</v>
      </c>
      <c r="EB119" s="60"/>
      <c r="EC119" s="43">
        <f t="shared" si="201"/>
        <v>705.78</v>
      </c>
      <c r="ED119" s="43">
        <f t="shared" si="201"/>
        <v>24</v>
      </c>
      <c r="EE119" s="43">
        <v>695.22</v>
      </c>
      <c r="EF119" s="43">
        <v>2.36</v>
      </c>
      <c r="EG119" s="43">
        <f t="shared" si="245"/>
        <v>98.5</v>
      </c>
      <c r="EH119" s="43">
        <f t="shared" si="245"/>
        <v>9.83</v>
      </c>
      <c r="EI119" s="43">
        <f t="shared" si="202"/>
        <v>10.56</v>
      </c>
      <c r="EJ119" s="43">
        <f t="shared" si="202"/>
        <v>21.64</v>
      </c>
      <c r="EK119" s="43">
        <f t="shared" si="203"/>
        <v>63.2</v>
      </c>
      <c r="EL119" s="43">
        <f t="shared" si="203"/>
        <v>0.21</v>
      </c>
      <c r="EM119" s="43">
        <f t="shared" si="204"/>
        <v>52.64</v>
      </c>
      <c r="EN119" s="43">
        <f t="shared" si="204"/>
        <v>-21.43</v>
      </c>
      <c r="EO119" s="43">
        <v>62</v>
      </c>
      <c r="EP119" s="43">
        <v>0</v>
      </c>
      <c r="EQ119" s="5"/>
      <c r="ER119" s="5"/>
      <c r="ES119" s="5"/>
      <c r="ET119" s="5"/>
      <c r="EU119" s="5">
        <f t="shared" si="270"/>
        <v>32.470000000000027</v>
      </c>
      <c r="EV119" s="5">
        <f t="shared" si="270"/>
        <v>-2</v>
      </c>
      <c r="EW119" s="5">
        <v>800.25</v>
      </c>
      <c r="EX119" s="5">
        <v>22</v>
      </c>
      <c r="EY119" s="5">
        <v>810</v>
      </c>
    </row>
    <row r="120" spans="1:162" ht="18.75" x14ac:dyDescent="0.25">
      <c r="A120" s="37">
        <v>23</v>
      </c>
      <c r="B120" s="37"/>
      <c r="C120" s="91" t="s">
        <v>172</v>
      </c>
      <c r="D120" s="38" t="s">
        <v>293</v>
      </c>
      <c r="E120" s="39"/>
      <c r="F120" s="40">
        <v>529.59</v>
      </c>
      <c r="G120" s="40">
        <v>91.56</v>
      </c>
      <c r="H120" s="40">
        <v>519.95000000000005</v>
      </c>
      <c r="I120" s="40">
        <v>83.26</v>
      </c>
      <c r="J120" s="41">
        <v>650</v>
      </c>
      <c r="K120" s="41">
        <v>0</v>
      </c>
      <c r="L120" s="41">
        <v>0</v>
      </c>
      <c r="M120" s="41">
        <f t="shared" ref="M120:M124" si="328">J120+K120+L120</f>
        <v>650</v>
      </c>
      <c r="N120" s="41">
        <v>0</v>
      </c>
      <c r="O120" s="41">
        <v>0</v>
      </c>
      <c r="P120" s="41">
        <v>0</v>
      </c>
      <c r="Q120" s="41">
        <f t="shared" ref="Q120:Q124" si="329">N120+O120+P120</f>
        <v>0</v>
      </c>
      <c r="R120" s="41">
        <f t="shared" ref="R120:R124" si="330">Q120+M120</f>
        <v>650</v>
      </c>
      <c r="S120" s="41">
        <v>90</v>
      </c>
      <c r="T120" s="92"/>
      <c r="U120" s="92"/>
      <c r="V120" s="40">
        <f t="shared" si="324"/>
        <v>550.26</v>
      </c>
      <c r="W120" s="40">
        <f t="shared" si="325"/>
        <v>85.98</v>
      </c>
      <c r="X120" s="43">
        <f t="shared" si="170"/>
        <v>99.740000000000009</v>
      </c>
      <c r="Y120" s="43">
        <f t="shared" si="170"/>
        <v>4.019999999999996</v>
      </c>
      <c r="Z120" s="43">
        <v>550.26</v>
      </c>
      <c r="AA120" s="43"/>
      <c r="AB120" s="43">
        <f t="shared" si="182"/>
        <v>550.26</v>
      </c>
      <c r="AC120" s="43">
        <f t="shared" si="183"/>
        <v>0</v>
      </c>
      <c r="AD120" s="43">
        <f t="shared" si="326"/>
        <v>550.26</v>
      </c>
      <c r="AE120" s="43">
        <f t="shared" si="326"/>
        <v>85.98</v>
      </c>
      <c r="AF120" s="43">
        <f t="shared" si="184"/>
        <v>81.2</v>
      </c>
      <c r="AG120" s="43">
        <f t="shared" si="171"/>
        <v>138</v>
      </c>
      <c r="AH120" s="43">
        <f t="shared" si="171"/>
        <v>21</v>
      </c>
      <c r="AI120" s="93">
        <f t="shared" si="172"/>
        <v>46</v>
      </c>
      <c r="AJ120" s="43">
        <f t="shared" si="172"/>
        <v>7</v>
      </c>
      <c r="AK120" s="43"/>
      <c r="AL120" s="43"/>
      <c r="AM120" s="43">
        <f t="shared" si="185"/>
        <v>137.57</v>
      </c>
      <c r="AN120" s="43">
        <f t="shared" si="186"/>
        <v>20.94</v>
      </c>
      <c r="AO120" s="43"/>
      <c r="AP120" s="43"/>
      <c r="AQ120" s="43">
        <f t="shared" si="173"/>
        <v>275.57</v>
      </c>
      <c r="AR120" s="43">
        <f t="shared" si="173"/>
        <v>41.94</v>
      </c>
      <c r="AS120" s="43"/>
      <c r="AT120" s="43"/>
      <c r="AU120" s="43">
        <f t="shared" si="260"/>
        <v>137.57</v>
      </c>
      <c r="AV120" s="43">
        <f>ROUND(AE120*25%,2)</f>
        <v>21.5</v>
      </c>
      <c r="AW120" s="43"/>
      <c r="AX120" s="43">
        <f>14.56+35</f>
        <v>49.56</v>
      </c>
      <c r="AY120" s="43">
        <f t="shared" si="166"/>
        <v>459.14</v>
      </c>
      <c r="AZ120" s="43">
        <f t="shared" si="166"/>
        <v>120</v>
      </c>
      <c r="BA120" s="43">
        <f t="shared" si="167"/>
        <v>579.14</v>
      </c>
      <c r="BB120" s="60">
        <v>427.87</v>
      </c>
      <c r="BC120" s="60">
        <v>117.14</v>
      </c>
      <c r="BD120" s="60">
        <f t="shared" si="168"/>
        <v>31.269999999999982</v>
      </c>
      <c r="BE120" s="60">
        <f t="shared" si="168"/>
        <v>2.8599999999999994</v>
      </c>
      <c r="BF120" s="60">
        <f t="shared" si="169"/>
        <v>85.57</v>
      </c>
      <c r="BG120" s="60">
        <f t="shared" si="169"/>
        <v>23.43</v>
      </c>
      <c r="BH120" s="43">
        <v>27.15</v>
      </c>
      <c r="BI120" s="43">
        <v>0</v>
      </c>
      <c r="BJ120" s="43"/>
      <c r="BK120" s="43"/>
      <c r="BL120" s="43">
        <f t="shared" si="180"/>
        <v>486.28999999999996</v>
      </c>
      <c r="BM120" s="43">
        <f t="shared" si="180"/>
        <v>120</v>
      </c>
      <c r="BN120" s="43">
        <f t="shared" si="187"/>
        <v>606.29</v>
      </c>
      <c r="BO120" s="43">
        <v>469.85</v>
      </c>
      <c r="BP120" s="93">
        <v>117.14</v>
      </c>
      <c r="BQ120" s="43">
        <f t="shared" si="188"/>
        <v>16.439999999999941</v>
      </c>
      <c r="BR120" s="43">
        <f t="shared" si="188"/>
        <v>2.8599999999999994</v>
      </c>
      <c r="BS120" s="43">
        <f t="shared" si="189"/>
        <v>42.71</v>
      </c>
      <c r="BT120" s="43">
        <f t="shared" si="189"/>
        <v>10.65</v>
      </c>
      <c r="BU120" s="43">
        <f t="shared" si="327"/>
        <v>26.27</v>
      </c>
      <c r="BV120" s="43">
        <v>0</v>
      </c>
      <c r="BW120" s="43"/>
      <c r="BX120" s="43"/>
      <c r="BY120" s="43"/>
      <c r="BZ120" s="43"/>
      <c r="CA120" s="43">
        <v>512.55999999999995</v>
      </c>
      <c r="CB120" s="43">
        <v>120</v>
      </c>
      <c r="CC120" s="92">
        <v>563.82000000000005</v>
      </c>
      <c r="CD120" s="92">
        <v>138</v>
      </c>
      <c r="CE120" s="92">
        <v>47</v>
      </c>
      <c r="CF120" s="92">
        <v>0</v>
      </c>
      <c r="CG120" s="92">
        <f t="shared" si="190"/>
        <v>128.13999999999999</v>
      </c>
      <c r="CH120" s="92">
        <f t="shared" si="190"/>
        <v>30</v>
      </c>
      <c r="CI120" s="43"/>
      <c r="CJ120" s="43"/>
      <c r="CK120" s="43">
        <v>160</v>
      </c>
      <c r="CL120" s="43">
        <v>0</v>
      </c>
      <c r="CM120" s="43"/>
      <c r="CN120" s="43"/>
      <c r="CO120" s="43">
        <v>660</v>
      </c>
      <c r="CP120" s="43">
        <v>0</v>
      </c>
      <c r="CQ120" s="43">
        <f t="shared" si="191"/>
        <v>640</v>
      </c>
      <c r="CR120" s="43">
        <f t="shared" si="191"/>
        <v>0</v>
      </c>
      <c r="CS120" s="43">
        <f t="shared" si="192"/>
        <v>640</v>
      </c>
      <c r="CT120" s="43">
        <f t="shared" si="192"/>
        <v>0</v>
      </c>
      <c r="CU120" s="43">
        <f t="shared" si="192"/>
        <v>640</v>
      </c>
      <c r="CV120" s="43">
        <f t="shared" si="192"/>
        <v>0</v>
      </c>
      <c r="CW120" s="43">
        <f t="shared" si="193"/>
        <v>160</v>
      </c>
      <c r="CX120" s="43">
        <f t="shared" si="193"/>
        <v>0</v>
      </c>
      <c r="CY120" s="43"/>
      <c r="CZ120" s="43"/>
      <c r="DA120" s="43">
        <f t="shared" si="194"/>
        <v>367</v>
      </c>
      <c r="DB120" s="43">
        <f t="shared" si="194"/>
        <v>0</v>
      </c>
      <c r="DC120" s="43">
        <v>301.47000000000003</v>
      </c>
      <c r="DD120" s="43">
        <v>0</v>
      </c>
      <c r="DE120" s="43">
        <f t="shared" si="195"/>
        <v>65.529999999999973</v>
      </c>
      <c r="DF120" s="43">
        <f t="shared" si="195"/>
        <v>0</v>
      </c>
      <c r="DG120" s="43">
        <f>ROUND(0.25*(MIN(CU120,EW120)),2)</f>
        <v>142.5</v>
      </c>
      <c r="DH120" s="43">
        <f>ROUND(0.25*(MIN(CV120,EX120)),2)</f>
        <v>0</v>
      </c>
      <c r="DI120" s="43">
        <f t="shared" si="196"/>
        <v>76.970000000000027</v>
      </c>
      <c r="DJ120" s="43">
        <f>+DH120-DF120</f>
        <v>0</v>
      </c>
      <c r="DK120" s="43"/>
      <c r="DL120" s="43"/>
      <c r="DM120" s="43">
        <f t="shared" si="197"/>
        <v>443.97</v>
      </c>
      <c r="DN120" s="43">
        <f t="shared" si="197"/>
        <v>0</v>
      </c>
      <c r="DO120" s="94">
        <v>435.66</v>
      </c>
      <c r="DP120" s="95">
        <v>0</v>
      </c>
      <c r="DQ120" s="60">
        <f t="shared" si="198"/>
        <v>8.31</v>
      </c>
      <c r="DR120" s="60">
        <f t="shared" si="198"/>
        <v>0</v>
      </c>
      <c r="DS120" s="60">
        <f t="shared" si="199"/>
        <v>43.566000000000003</v>
      </c>
      <c r="DT120" s="60">
        <f t="shared" si="199"/>
        <v>0</v>
      </c>
      <c r="DU120" s="60">
        <f t="shared" si="200"/>
        <v>35.256</v>
      </c>
      <c r="DV120" s="60">
        <f t="shared" si="200"/>
        <v>0</v>
      </c>
      <c r="DW120" s="60"/>
      <c r="DX120" s="60"/>
      <c r="DY120" s="60">
        <v>50</v>
      </c>
      <c r="DZ120" s="60">
        <f t="shared" si="181"/>
        <v>0</v>
      </c>
      <c r="EA120" s="60"/>
      <c r="EB120" s="60"/>
      <c r="EC120" s="43">
        <f t="shared" si="201"/>
        <v>493.97</v>
      </c>
      <c r="ED120" s="43">
        <f t="shared" si="201"/>
        <v>0</v>
      </c>
      <c r="EE120" s="43">
        <v>478.62</v>
      </c>
      <c r="EF120" s="43">
        <v>0</v>
      </c>
      <c r="EG120" s="43">
        <f t="shared" si="245"/>
        <v>96.89</v>
      </c>
      <c r="EH120" s="43" t="e">
        <f t="shared" si="245"/>
        <v>#DIV/0!</v>
      </c>
      <c r="EI120" s="43">
        <f t="shared" si="202"/>
        <v>15.35</v>
      </c>
      <c r="EJ120" s="43">
        <f t="shared" si="202"/>
        <v>0</v>
      </c>
      <c r="EK120" s="43">
        <f t="shared" si="203"/>
        <v>43.51</v>
      </c>
      <c r="EL120" s="43">
        <f t="shared" si="203"/>
        <v>0</v>
      </c>
      <c r="EM120" s="43">
        <f t="shared" si="204"/>
        <v>28.159999999999997</v>
      </c>
      <c r="EN120" s="43">
        <f t="shared" si="204"/>
        <v>0</v>
      </c>
      <c r="EO120" s="43">
        <v>48.03</v>
      </c>
      <c r="EP120" s="43">
        <v>74.260000000000005</v>
      </c>
      <c r="EQ120" s="5"/>
      <c r="ER120" s="5"/>
      <c r="ES120" s="5">
        <v>105</v>
      </c>
      <c r="ET120" s="5">
        <v>74.260000000000005</v>
      </c>
      <c r="EU120" s="5">
        <f t="shared" si="270"/>
        <v>27.999999999999972</v>
      </c>
      <c r="EV120" s="5">
        <f t="shared" si="270"/>
        <v>-74.260000000000005</v>
      </c>
      <c r="EW120" s="49">
        <v>570</v>
      </c>
      <c r="EX120" s="5">
        <v>0</v>
      </c>
      <c r="EY120" s="5">
        <v>650</v>
      </c>
      <c r="EZ120" s="5">
        <v>30</v>
      </c>
    </row>
    <row r="121" spans="1:162" ht="18.75" x14ac:dyDescent="0.25">
      <c r="A121" s="37">
        <v>24</v>
      </c>
      <c r="B121" s="37"/>
      <c r="C121" s="91" t="s">
        <v>172</v>
      </c>
      <c r="D121" s="38" t="s">
        <v>294</v>
      </c>
      <c r="E121" s="39"/>
      <c r="F121" s="40">
        <v>762.1600000000002</v>
      </c>
      <c r="G121" s="40">
        <v>0</v>
      </c>
      <c r="H121" s="40">
        <v>850.00000000000023</v>
      </c>
      <c r="I121" s="40">
        <v>0</v>
      </c>
      <c r="J121" s="41">
        <v>950</v>
      </c>
      <c r="K121" s="41">
        <v>0</v>
      </c>
      <c r="L121" s="41">
        <v>0</v>
      </c>
      <c r="M121" s="41">
        <f t="shared" si="328"/>
        <v>950</v>
      </c>
      <c r="N121" s="41">
        <v>0</v>
      </c>
      <c r="O121" s="41">
        <v>0</v>
      </c>
      <c r="P121" s="41">
        <v>0</v>
      </c>
      <c r="Q121" s="41">
        <f t="shared" si="329"/>
        <v>0</v>
      </c>
      <c r="R121" s="41">
        <f t="shared" si="330"/>
        <v>950</v>
      </c>
      <c r="S121" s="41">
        <v>0</v>
      </c>
      <c r="T121" s="92"/>
      <c r="U121" s="92"/>
      <c r="V121" s="40">
        <f t="shared" si="324"/>
        <v>899.56</v>
      </c>
      <c r="W121" s="40">
        <f t="shared" si="325"/>
        <v>0</v>
      </c>
      <c r="X121" s="43">
        <f t="shared" si="170"/>
        <v>50.440000000000055</v>
      </c>
      <c r="Y121" s="43">
        <f t="shared" si="170"/>
        <v>0</v>
      </c>
      <c r="Z121" s="43">
        <v>899.56</v>
      </c>
      <c r="AA121" s="43"/>
      <c r="AB121" s="43">
        <f t="shared" si="182"/>
        <v>899.56</v>
      </c>
      <c r="AC121" s="43">
        <f t="shared" si="183"/>
        <v>0</v>
      </c>
      <c r="AD121" s="43">
        <f t="shared" si="326"/>
        <v>899.56</v>
      </c>
      <c r="AE121" s="43">
        <f t="shared" si="326"/>
        <v>0</v>
      </c>
      <c r="AF121" s="43">
        <f t="shared" si="184"/>
        <v>0</v>
      </c>
      <c r="AG121" s="43">
        <f t="shared" si="171"/>
        <v>225</v>
      </c>
      <c r="AH121" s="43">
        <f t="shared" si="171"/>
        <v>0</v>
      </c>
      <c r="AI121" s="93">
        <f t="shared" si="172"/>
        <v>75</v>
      </c>
      <c r="AJ121" s="43">
        <f t="shared" si="172"/>
        <v>0</v>
      </c>
      <c r="AK121" s="43"/>
      <c r="AL121" s="43"/>
      <c r="AM121" s="43">
        <f t="shared" si="185"/>
        <v>224.89</v>
      </c>
      <c r="AN121" s="43">
        <f t="shared" si="186"/>
        <v>0</v>
      </c>
      <c r="AO121" s="43"/>
      <c r="AP121" s="43"/>
      <c r="AQ121" s="43">
        <f t="shared" si="173"/>
        <v>449.89</v>
      </c>
      <c r="AR121" s="43">
        <f t="shared" si="173"/>
        <v>0</v>
      </c>
      <c r="AS121" s="43"/>
      <c r="AT121" s="43"/>
      <c r="AU121" s="43">
        <v>126.11</v>
      </c>
      <c r="AV121" s="43">
        <f t="shared" ref="AV121:AV124" si="331">ROUND(AE121*25%,2)</f>
        <v>0</v>
      </c>
      <c r="AW121" s="43"/>
      <c r="AX121" s="43"/>
      <c r="AY121" s="43">
        <f t="shared" si="166"/>
        <v>651</v>
      </c>
      <c r="AZ121" s="43">
        <f t="shared" si="166"/>
        <v>0</v>
      </c>
      <c r="BA121" s="43">
        <f t="shared" si="167"/>
        <v>651</v>
      </c>
      <c r="BB121" s="60">
        <v>635</v>
      </c>
      <c r="BC121" s="60"/>
      <c r="BD121" s="60">
        <f t="shared" si="168"/>
        <v>16</v>
      </c>
      <c r="BE121" s="60">
        <f t="shared" si="168"/>
        <v>0</v>
      </c>
      <c r="BF121" s="60">
        <f t="shared" si="169"/>
        <v>127</v>
      </c>
      <c r="BG121" s="60">
        <f t="shared" si="169"/>
        <v>0</v>
      </c>
      <c r="BH121" s="43">
        <v>0</v>
      </c>
      <c r="BI121" s="43">
        <v>0</v>
      </c>
      <c r="BJ121" s="43"/>
      <c r="BK121" s="43"/>
      <c r="BL121" s="43">
        <f t="shared" si="180"/>
        <v>651</v>
      </c>
      <c r="BM121" s="43">
        <f t="shared" si="180"/>
        <v>0</v>
      </c>
      <c r="BN121" s="43">
        <f t="shared" si="187"/>
        <v>651</v>
      </c>
      <c r="BO121" s="43">
        <v>635</v>
      </c>
      <c r="BP121" s="93"/>
      <c r="BQ121" s="43">
        <f t="shared" si="188"/>
        <v>16</v>
      </c>
      <c r="BR121" s="43">
        <f t="shared" si="188"/>
        <v>0</v>
      </c>
      <c r="BS121" s="43">
        <f t="shared" si="189"/>
        <v>57.73</v>
      </c>
      <c r="BT121" s="43">
        <f t="shared" si="189"/>
        <v>0</v>
      </c>
      <c r="BU121" s="43">
        <f>ROUND(BS121-BQ121,2)</f>
        <v>41.73</v>
      </c>
      <c r="BV121" s="43">
        <f>ROUND(BT121-BR121,2)</f>
        <v>0</v>
      </c>
      <c r="BW121" s="43">
        <v>157.27000000000001</v>
      </c>
      <c r="BX121" s="43"/>
      <c r="BY121" s="43"/>
      <c r="BZ121" s="43"/>
      <c r="CA121" s="43">
        <v>850</v>
      </c>
      <c r="CB121" s="43">
        <v>0</v>
      </c>
      <c r="CC121" s="92">
        <v>935</v>
      </c>
      <c r="CD121" s="92">
        <v>0</v>
      </c>
      <c r="CE121" s="92">
        <v>78</v>
      </c>
      <c r="CF121" s="92">
        <v>0</v>
      </c>
      <c r="CG121" s="92">
        <f t="shared" si="190"/>
        <v>212.5</v>
      </c>
      <c r="CH121" s="92">
        <f t="shared" si="190"/>
        <v>0</v>
      </c>
      <c r="CI121" s="43"/>
      <c r="CJ121" s="43"/>
      <c r="CK121" s="43">
        <v>300</v>
      </c>
      <c r="CL121" s="43">
        <v>0</v>
      </c>
      <c r="CM121" s="43"/>
      <c r="CN121" s="43"/>
      <c r="CO121" s="43">
        <v>900</v>
      </c>
      <c r="CP121" s="43"/>
      <c r="CQ121" s="43">
        <f t="shared" si="191"/>
        <v>1200</v>
      </c>
      <c r="CR121" s="43">
        <f t="shared" si="191"/>
        <v>0</v>
      </c>
      <c r="CS121" s="43">
        <f t="shared" si="192"/>
        <v>900</v>
      </c>
      <c r="CT121" s="43">
        <f t="shared" si="192"/>
        <v>0</v>
      </c>
      <c r="CU121" s="43">
        <f t="shared" si="192"/>
        <v>900</v>
      </c>
      <c r="CV121" s="43">
        <f t="shared" si="192"/>
        <v>0</v>
      </c>
      <c r="CW121" s="43">
        <f t="shared" si="193"/>
        <v>225</v>
      </c>
      <c r="CX121" s="43">
        <f t="shared" si="193"/>
        <v>0</v>
      </c>
      <c r="CY121" s="43"/>
      <c r="CZ121" s="43"/>
      <c r="DA121" s="43">
        <f t="shared" si="194"/>
        <v>603</v>
      </c>
      <c r="DB121" s="43">
        <f t="shared" si="194"/>
        <v>0</v>
      </c>
      <c r="DC121" s="43">
        <v>599</v>
      </c>
      <c r="DD121" s="43">
        <v>0</v>
      </c>
      <c r="DE121" s="43">
        <f t="shared" si="195"/>
        <v>4</v>
      </c>
      <c r="DF121" s="43">
        <f t="shared" si="195"/>
        <v>0</v>
      </c>
      <c r="DG121" s="43">
        <f>ROUND(0.25*(MIN(CU121,EW121)),2)</f>
        <v>225</v>
      </c>
      <c r="DH121" s="43">
        <f>ROUND(0.25*(MIN(CV121,EX121)),2)</f>
        <v>0</v>
      </c>
      <c r="DI121" s="43">
        <f t="shared" si="196"/>
        <v>221</v>
      </c>
      <c r="DJ121" s="43">
        <f>+DH121-DF121</f>
        <v>0</v>
      </c>
      <c r="DK121" s="43"/>
      <c r="DL121" s="43"/>
      <c r="DM121" s="43">
        <f t="shared" si="197"/>
        <v>824</v>
      </c>
      <c r="DN121" s="43">
        <f t="shared" si="197"/>
        <v>0</v>
      </c>
      <c r="DO121" s="94">
        <v>682</v>
      </c>
      <c r="DP121" s="95">
        <v>0</v>
      </c>
      <c r="DQ121" s="60">
        <f t="shared" si="198"/>
        <v>142</v>
      </c>
      <c r="DR121" s="60">
        <f t="shared" si="198"/>
        <v>0</v>
      </c>
      <c r="DS121" s="60">
        <f t="shared" si="199"/>
        <v>68.2</v>
      </c>
      <c r="DT121" s="60">
        <f t="shared" si="199"/>
        <v>0</v>
      </c>
      <c r="DU121" s="60">
        <f t="shared" si="200"/>
        <v>-73.8</v>
      </c>
      <c r="DV121" s="60">
        <f t="shared" si="200"/>
        <v>0</v>
      </c>
      <c r="DW121" s="60"/>
      <c r="DX121" s="60"/>
      <c r="DY121" s="60">
        <v>0</v>
      </c>
      <c r="DZ121" s="60">
        <f t="shared" si="181"/>
        <v>0</v>
      </c>
      <c r="EA121" s="60"/>
      <c r="EB121" s="60"/>
      <c r="EC121" s="43">
        <f t="shared" si="201"/>
        <v>824</v>
      </c>
      <c r="ED121" s="43">
        <f t="shared" si="201"/>
        <v>0</v>
      </c>
      <c r="EE121" s="43">
        <v>824</v>
      </c>
      <c r="EF121" s="43">
        <v>0</v>
      </c>
      <c r="EG121" s="43">
        <f t="shared" si="245"/>
        <v>100</v>
      </c>
      <c r="EH121" s="43" t="e">
        <f t="shared" si="245"/>
        <v>#DIV/0!</v>
      </c>
      <c r="EI121" s="43">
        <f t="shared" si="202"/>
        <v>0</v>
      </c>
      <c r="EJ121" s="43">
        <f t="shared" si="202"/>
        <v>0</v>
      </c>
      <c r="EK121" s="43">
        <f t="shared" si="203"/>
        <v>74.91</v>
      </c>
      <c r="EL121" s="43">
        <f t="shared" si="203"/>
        <v>0</v>
      </c>
      <c r="EM121" s="43">
        <f t="shared" si="204"/>
        <v>74.91</v>
      </c>
      <c r="EN121" s="43">
        <f t="shared" si="204"/>
        <v>0</v>
      </c>
      <c r="EO121" s="43"/>
      <c r="EP121" s="43">
        <v>0</v>
      </c>
      <c r="EQ121" s="5"/>
      <c r="ER121" s="5"/>
      <c r="ES121" s="5"/>
      <c r="ET121" s="5"/>
      <c r="EU121" s="5">
        <f t="shared" si="270"/>
        <v>176</v>
      </c>
      <c r="EV121" s="5">
        <f t="shared" si="270"/>
        <v>0</v>
      </c>
      <c r="EW121" s="5">
        <v>1000</v>
      </c>
      <c r="EX121" s="5">
        <v>0</v>
      </c>
      <c r="EY121" s="5">
        <v>1100</v>
      </c>
      <c r="EZ121" s="5">
        <v>0</v>
      </c>
    </row>
    <row r="122" spans="1:162" ht="18.75" x14ac:dyDescent="0.25">
      <c r="A122" s="68"/>
      <c r="B122" s="68" t="s">
        <v>295</v>
      </c>
      <c r="C122" s="91" t="s">
        <v>172</v>
      </c>
      <c r="D122" s="67" t="s">
        <v>293</v>
      </c>
      <c r="E122" s="69" t="s">
        <v>296</v>
      </c>
      <c r="F122" s="70">
        <v>1291.7500000000002</v>
      </c>
      <c r="G122" s="70">
        <v>91.56</v>
      </c>
      <c r="H122" s="70">
        <v>1369.9500000000003</v>
      </c>
      <c r="I122" s="70">
        <v>83.26</v>
      </c>
      <c r="J122" s="71">
        <f t="shared" ref="J122:AA122" si="332">+J120+J121</f>
        <v>1600</v>
      </c>
      <c r="K122" s="71">
        <f t="shared" si="332"/>
        <v>0</v>
      </c>
      <c r="L122" s="71">
        <f t="shared" si="332"/>
        <v>0</v>
      </c>
      <c r="M122" s="71">
        <f t="shared" si="332"/>
        <v>1600</v>
      </c>
      <c r="N122" s="71">
        <f t="shared" si="332"/>
        <v>0</v>
      </c>
      <c r="O122" s="71">
        <f t="shared" si="332"/>
        <v>0</v>
      </c>
      <c r="P122" s="71">
        <f t="shared" si="332"/>
        <v>0</v>
      </c>
      <c r="Q122" s="71">
        <f t="shared" si="332"/>
        <v>0</v>
      </c>
      <c r="R122" s="71">
        <f t="shared" si="332"/>
        <v>1600</v>
      </c>
      <c r="S122" s="71">
        <f t="shared" si="332"/>
        <v>90</v>
      </c>
      <c r="T122" s="71">
        <f t="shared" si="332"/>
        <v>0</v>
      </c>
      <c r="U122" s="71">
        <f t="shared" si="332"/>
        <v>0</v>
      </c>
      <c r="V122" s="71">
        <f t="shared" si="332"/>
        <v>1449.82</v>
      </c>
      <c r="W122" s="71">
        <f t="shared" si="332"/>
        <v>85.98</v>
      </c>
      <c r="X122" s="71">
        <f t="shared" si="332"/>
        <v>150.18000000000006</v>
      </c>
      <c r="Y122" s="71">
        <f t="shared" si="332"/>
        <v>4.019999999999996</v>
      </c>
      <c r="Z122" s="71">
        <f t="shared" si="332"/>
        <v>1449.82</v>
      </c>
      <c r="AA122" s="71">
        <f t="shared" si="332"/>
        <v>0</v>
      </c>
      <c r="AB122" s="70">
        <f t="shared" si="182"/>
        <v>1449.82</v>
      </c>
      <c r="AC122" s="43">
        <f t="shared" si="183"/>
        <v>0</v>
      </c>
      <c r="AD122" s="70">
        <f t="shared" ref="AD122:CP122" si="333">+AD120+AD121</f>
        <v>1449.82</v>
      </c>
      <c r="AE122" s="70">
        <f t="shared" si="333"/>
        <v>85.98</v>
      </c>
      <c r="AF122" s="70">
        <f t="shared" si="333"/>
        <v>81.2</v>
      </c>
      <c r="AG122" s="70">
        <f t="shared" si="333"/>
        <v>363</v>
      </c>
      <c r="AH122" s="70">
        <f t="shared" si="333"/>
        <v>21</v>
      </c>
      <c r="AI122" s="96">
        <f t="shared" si="333"/>
        <v>121</v>
      </c>
      <c r="AJ122" s="70">
        <f t="shared" si="333"/>
        <v>7</v>
      </c>
      <c r="AK122" s="70">
        <f t="shared" si="333"/>
        <v>0</v>
      </c>
      <c r="AL122" s="70">
        <f t="shared" si="333"/>
        <v>0</v>
      </c>
      <c r="AM122" s="70">
        <f t="shared" si="333"/>
        <v>362.46</v>
      </c>
      <c r="AN122" s="70">
        <f t="shared" si="333"/>
        <v>20.94</v>
      </c>
      <c r="AO122" s="70">
        <f t="shared" si="333"/>
        <v>0</v>
      </c>
      <c r="AP122" s="70">
        <f t="shared" si="333"/>
        <v>0</v>
      </c>
      <c r="AQ122" s="70">
        <f t="shared" si="333"/>
        <v>725.46</v>
      </c>
      <c r="AR122" s="70">
        <f t="shared" si="333"/>
        <v>41.94</v>
      </c>
      <c r="AS122" s="70">
        <f t="shared" si="333"/>
        <v>0</v>
      </c>
      <c r="AT122" s="70">
        <f t="shared" si="333"/>
        <v>0</v>
      </c>
      <c r="AU122" s="70">
        <f t="shared" si="333"/>
        <v>263.68</v>
      </c>
      <c r="AV122" s="70">
        <f t="shared" si="333"/>
        <v>21.5</v>
      </c>
      <c r="AW122" s="70">
        <f t="shared" si="333"/>
        <v>0</v>
      </c>
      <c r="AX122" s="70">
        <f t="shared" si="333"/>
        <v>49.56</v>
      </c>
      <c r="AY122" s="70">
        <f t="shared" si="333"/>
        <v>1110.1399999999999</v>
      </c>
      <c r="AZ122" s="70">
        <f t="shared" si="333"/>
        <v>120</v>
      </c>
      <c r="BA122" s="70">
        <f t="shared" si="333"/>
        <v>1230.1399999999999</v>
      </c>
      <c r="BB122" s="70">
        <f t="shared" si="333"/>
        <v>1062.8699999999999</v>
      </c>
      <c r="BC122" s="70">
        <f t="shared" si="333"/>
        <v>117.14</v>
      </c>
      <c r="BD122" s="70">
        <f t="shared" si="333"/>
        <v>47.269999999999982</v>
      </c>
      <c r="BE122" s="70">
        <f t="shared" si="333"/>
        <v>2.8599999999999994</v>
      </c>
      <c r="BF122" s="70">
        <f t="shared" si="333"/>
        <v>212.57</v>
      </c>
      <c r="BG122" s="96">
        <f t="shared" si="333"/>
        <v>23.43</v>
      </c>
      <c r="BH122" s="96">
        <f t="shared" si="333"/>
        <v>27.15</v>
      </c>
      <c r="BI122" s="96">
        <f t="shared" si="333"/>
        <v>0</v>
      </c>
      <c r="BJ122" s="96">
        <f t="shared" si="333"/>
        <v>0</v>
      </c>
      <c r="BK122" s="96">
        <f t="shared" si="333"/>
        <v>0</v>
      </c>
      <c r="BL122" s="96">
        <f t="shared" si="333"/>
        <v>1137.29</v>
      </c>
      <c r="BM122" s="96">
        <f t="shared" si="333"/>
        <v>120</v>
      </c>
      <c r="BN122" s="96">
        <f t="shared" si="333"/>
        <v>1257.29</v>
      </c>
      <c r="BO122" s="96">
        <f t="shared" si="333"/>
        <v>1104.8499999999999</v>
      </c>
      <c r="BP122" s="96">
        <f t="shared" si="333"/>
        <v>117.14</v>
      </c>
      <c r="BQ122" s="70">
        <f t="shared" si="333"/>
        <v>32.439999999999941</v>
      </c>
      <c r="BR122" s="70">
        <f t="shared" si="333"/>
        <v>2.8599999999999994</v>
      </c>
      <c r="BS122" s="70">
        <f t="shared" si="333"/>
        <v>100.44</v>
      </c>
      <c r="BT122" s="70">
        <f t="shared" si="333"/>
        <v>10.65</v>
      </c>
      <c r="BU122" s="70">
        <f t="shared" si="333"/>
        <v>68</v>
      </c>
      <c r="BV122" s="70">
        <f t="shared" si="333"/>
        <v>0</v>
      </c>
      <c r="BW122" s="70">
        <f t="shared" si="333"/>
        <v>157.27000000000001</v>
      </c>
      <c r="BX122" s="70">
        <f t="shared" si="333"/>
        <v>0</v>
      </c>
      <c r="BY122" s="70">
        <f t="shared" si="333"/>
        <v>0</v>
      </c>
      <c r="BZ122" s="70">
        <f t="shared" si="333"/>
        <v>0</v>
      </c>
      <c r="CA122" s="70">
        <f t="shared" si="333"/>
        <v>1362.56</v>
      </c>
      <c r="CB122" s="70">
        <f t="shared" si="333"/>
        <v>120</v>
      </c>
      <c r="CC122" s="70">
        <f t="shared" si="333"/>
        <v>1498.8200000000002</v>
      </c>
      <c r="CD122" s="70">
        <f t="shared" si="333"/>
        <v>138</v>
      </c>
      <c r="CE122" s="70">
        <f t="shared" si="333"/>
        <v>125</v>
      </c>
      <c r="CF122" s="70">
        <f t="shared" si="333"/>
        <v>0</v>
      </c>
      <c r="CG122" s="70">
        <f t="shared" si="333"/>
        <v>340.64</v>
      </c>
      <c r="CH122" s="96">
        <f t="shared" si="333"/>
        <v>30</v>
      </c>
      <c r="CI122" s="70">
        <f t="shared" si="333"/>
        <v>0</v>
      </c>
      <c r="CJ122" s="70">
        <f t="shared" si="333"/>
        <v>0</v>
      </c>
      <c r="CK122" s="70">
        <f t="shared" si="333"/>
        <v>460</v>
      </c>
      <c r="CL122" s="70">
        <f t="shared" si="333"/>
        <v>0</v>
      </c>
      <c r="CM122" s="70">
        <f t="shared" si="333"/>
        <v>0</v>
      </c>
      <c r="CN122" s="70">
        <f t="shared" si="333"/>
        <v>0</v>
      </c>
      <c r="CO122" s="70">
        <f t="shared" si="333"/>
        <v>1560</v>
      </c>
      <c r="CP122" s="70">
        <f t="shared" si="333"/>
        <v>0</v>
      </c>
      <c r="CQ122" s="70">
        <f t="shared" ref="CQ122:FF122" si="334">+CQ120+CQ121</f>
        <v>1840</v>
      </c>
      <c r="CR122" s="70">
        <f t="shared" si="334"/>
        <v>0</v>
      </c>
      <c r="CS122" s="70">
        <f t="shared" si="334"/>
        <v>1540</v>
      </c>
      <c r="CT122" s="70">
        <f t="shared" si="334"/>
        <v>0</v>
      </c>
      <c r="CU122" s="70">
        <f t="shared" si="334"/>
        <v>1540</v>
      </c>
      <c r="CV122" s="70">
        <f t="shared" si="334"/>
        <v>0</v>
      </c>
      <c r="CW122" s="70">
        <f t="shared" si="334"/>
        <v>385</v>
      </c>
      <c r="CX122" s="70">
        <f t="shared" si="334"/>
        <v>0</v>
      </c>
      <c r="CY122" s="70">
        <f t="shared" si="334"/>
        <v>0</v>
      </c>
      <c r="CZ122" s="70">
        <f t="shared" si="334"/>
        <v>0</v>
      </c>
      <c r="DA122" s="70">
        <f t="shared" si="334"/>
        <v>970</v>
      </c>
      <c r="DB122" s="70">
        <f t="shared" si="334"/>
        <v>0</v>
      </c>
      <c r="DC122" s="70">
        <f t="shared" si="334"/>
        <v>900.47</v>
      </c>
      <c r="DD122" s="70">
        <f t="shared" si="334"/>
        <v>0</v>
      </c>
      <c r="DE122" s="70">
        <f t="shared" si="334"/>
        <v>69.529999999999973</v>
      </c>
      <c r="DF122" s="70">
        <f t="shared" si="334"/>
        <v>0</v>
      </c>
      <c r="DG122" s="70">
        <f t="shared" si="334"/>
        <v>367.5</v>
      </c>
      <c r="DH122" s="70">
        <f t="shared" si="334"/>
        <v>0</v>
      </c>
      <c r="DI122" s="70">
        <f t="shared" si="334"/>
        <v>297.97000000000003</v>
      </c>
      <c r="DJ122" s="70">
        <f t="shared" si="334"/>
        <v>0</v>
      </c>
      <c r="DK122" s="70">
        <f t="shared" si="334"/>
        <v>0</v>
      </c>
      <c r="DL122" s="70">
        <f t="shared" si="334"/>
        <v>0</v>
      </c>
      <c r="DM122" s="70">
        <f t="shared" si="334"/>
        <v>1267.97</v>
      </c>
      <c r="DN122" s="70">
        <f t="shared" si="334"/>
        <v>0</v>
      </c>
      <c r="DO122" s="70">
        <f t="shared" si="334"/>
        <v>1117.6600000000001</v>
      </c>
      <c r="DP122" s="70">
        <f t="shared" si="334"/>
        <v>0</v>
      </c>
      <c r="DQ122" s="70">
        <f t="shared" si="334"/>
        <v>150.31</v>
      </c>
      <c r="DR122" s="70">
        <f t="shared" si="334"/>
        <v>0</v>
      </c>
      <c r="DS122" s="70">
        <f t="shared" si="334"/>
        <v>111.76600000000001</v>
      </c>
      <c r="DT122" s="70">
        <f t="shared" si="334"/>
        <v>0</v>
      </c>
      <c r="DU122" s="70">
        <f t="shared" si="334"/>
        <v>-38.543999999999997</v>
      </c>
      <c r="DV122" s="70">
        <f t="shared" si="334"/>
        <v>0</v>
      </c>
      <c r="DW122" s="70">
        <f t="shared" si="334"/>
        <v>0</v>
      </c>
      <c r="DX122" s="70">
        <f t="shared" si="334"/>
        <v>0</v>
      </c>
      <c r="DY122" s="70">
        <f t="shared" si="334"/>
        <v>50</v>
      </c>
      <c r="DZ122" s="70">
        <f t="shared" si="334"/>
        <v>0</v>
      </c>
      <c r="EA122" s="70">
        <f t="shared" si="334"/>
        <v>0</v>
      </c>
      <c r="EB122" s="96">
        <f t="shared" si="334"/>
        <v>0</v>
      </c>
      <c r="EC122" s="70">
        <f t="shared" si="334"/>
        <v>1317.97</v>
      </c>
      <c r="ED122" s="70">
        <f t="shared" si="334"/>
        <v>0</v>
      </c>
      <c r="EE122" s="70">
        <f t="shared" si="334"/>
        <v>1302.6199999999999</v>
      </c>
      <c r="EF122" s="70">
        <f t="shared" si="334"/>
        <v>0</v>
      </c>
      <c r="EG122" s="70">
        <f t="shared" si="334"/>
        <v>196.89</v>
      </c>
      <c r="EH122" s="70" t="e">
        <f t="shared" si="334"/>
        <v>#DIV/0!</v>
      </c>
      <c r="EI122" s="70">
        <f t="shared" si="334"/>
        <v>15.35</v>
      </c>
      <c r="EJ122" s="70">
        <f t="shared" si="334"/>
        <v>0</v>
      </c>
      <c r="EK122" s="70">
        <f t="shared" si="334"/>
        <v>118.41999999999999</v>
      </c>
      <c r="EL122" s="70">
        <f t="shared" si="334"/>
        <v>0</v>
      </c>
      <c r="EM122" s="70">
        <f t="shared" si="334"/>
        <v>103.07</v>
      </c>
      <c r="EN122" s="70">
        <f t="shared" si="334"/>
        <v>0</v>
      </c>
      <c r="EO122" s="70">
        <f t="shared" si="334"/>
        <v>48.03</v>
      </c>
      <c r="EP122" s="70">
        <f t="shared" si="334"/>
        <v>74.260000000000005</v>
      </c>
      <c r="EQ122" s="66">
        <f t="shared" si="334"/>
        <v>0</v>
      </c>
      <c r="ER122" s="46"/>
      <c r="ES122" s="46">
        <f t="shared" si="334"/>
        <v>105</v>
      </c>
      <c r="ET122" s="46">
        <f t="shared" si="334"/>
        <v>74.260000000000005</v>
      </c>
      <c r="EU122" s="5">
        <f t="shared" si="270"/>
        <v>203.99999999999997</v>
      </c>
      <c r="EV122" s="5">
        <f t="shared" si="270"/>
        <v>-74.260000000000005</v>
      </c>
      <c r="EW122" s="46">
        <f t="shared" si="334"/>
        <v>1570</v>
      </c>
      <c r="EX122" s="46">
        <f t="shared" si="334"/>
        <v>0</v>
      </c>
      <c r="EY122" s="46">
        <f t="shared" si="334"/>
        <v>1750</v>
      </c>
      <c r="EZ122" s="46">
        <f t="shared" si="334"/>
        <v>30</v>
      </c>
      <c r="FA122" s="46">
        <f t="shared" si="334"/>
        <v>0</v>
      </c>
      <c r="FB122" s="46">
        <f t="shared" si="334"/>
        <v>0</v>
      </c>
      <c r="FC122" s="46">
        <f t="shared" si="334"/>
        <v>0</v>
      </c>
      <c r="FD122" s="46">
        <f t="shared" si="334"/>
        <v>0</v>
      </c>
      <c r="FE122" s="46">
        <f t="shared" si="334"/>
        <v>0</v>
      </c>
      <c r="FF122" s="46">
        <f t="shared" si="334"/>
        <v>0</v>
      </c>
    </row>
    <row r="123" spans="1:162" ht="18.75" x14ac:dyDescent="0.25">
      <c r="A123" s="37">
        <v>25</v>
      </c>
      <c r="B123" s="37"/>
      <c r="C123" s="91" t="s">
        <v>260</v>
      </c>
      <c r="D123" s="38" t="s">
        <v>297</v>
      </c>
      <c r="E123" s="39"/>
      <c r="F123" s="40">
        <v>490.99999999999994</v>
      </c>
      <c r="G123" s="40">
        <v>8.3099999999999987</v>
      </c>
      <c r="H123" s="40">
        <v>490.99999999999994</v>
      </c>
      <c r="I123" s="40">
        <v>3.5399999999999991</v>
      </c>
      <c r="J123" s="41">
        <v>565</v>
      </c>
      <c r="K123" s="41">
        <v>0</v>
      </c>
      <c r="L123" s="41">
        <v>0</v>
      </c>
      <c r="M123" s="41">
        <f t="shared" si="328"/>
        <v>565</v>
      </c>
      <c r="N123" s="41">
        <v>0</v>
      </c>
      <c r="O123" s="41">
        <v>0</v>
      </c>
      <c r="P123" s="41">
        <v>0</v>
      </c>
      <c r="Q123" s="41">
        <f t="shared" si="329"/>
        <v>0</v>
      </c>
      <c r="R123" s="41">
        <f t="shared" si="330"/>
        <v>565</v>
      </c>
      <c r="S123" s="41">
        <v>40</v>
      </c>
      <c r="T123" s="92"/>
      <c r="U123" s="92"/>
      <c r="V123" s="40">
        <f t="shared" ref="V123:V124" si="335">ROUND(H123*1.0583,2)</f>
        <v>519.63</v>
      </c>
      <c r="W123" s="40">
        <f t="shared" ref="W123:W124" si="336">ROUND(I123*1.0327,2)</f>
        <v>3.66</v>
      </c>
      <c r="X123" s="43">
        <f t="shared" si="170"/>
        <v>45.370000000000005</v>
      </c>
      <c r="Y123" s="43">
        <f t="shared" si="170"/>
        <v>36.340000000000003</v>
      </c>
      <c r="Z123" s="43">
        <v>519.63</v>
      </c>
      <c r="AA123" s="43"/>
      <c r="AB123" s="43">
        <f t="shared" si="182"/>
        <v>519.63</v>
      </c>
      <c r="AC123" s="43">
        <f t="shared" si="183"/>
        <v>0</v>
      </c>
      <c r="AD123" s="43">
        <f t="shared" ref="AD123:AE124" si="337">IF(X123&gt;0,V123,R123)</f>
        <v>519.63</v>
      </c>
      <c r="AE123" s="43">
        <f t="shared" si="337"/>
        <v>3.66</v>
      </c>
      <c r="AF123" s="43">
        <f t="shared" si="184"/>
        <v>36.090000000000003</v>
      </c>
      <c r="AG123" s="43">
        <f t="shared" si="171"/>
        <v>130</v>
      </c>
      <c r="AH123" s="43">
        <f t="shared" si="171"/>
        <v>1</v>
      </c>
      <c r="AI123" s="93">
        <f t="shared" si="172"/>
        <v>43</v>
      </c>
      <c r="AJ123" s="43">
        <f t="shared" si="172"/>
        <v>0</v>
      </c>
      <c r="AK123" s="43"/>
      <c r="AL123" s="43"/>
      <c r="AM123" s="43">
        <f t="shared" si="185"/>
        <v>129.91</v>
      </c>
      <c r="AN123" s="43">
        <f t="shared" si="186"/>
        <v>0.89</v>
      </c>
      <c r="AO123" s="43"/>
      <c r="AP123" s="43"/>
      <c r="AQ123" s="43">
        <f t="shared" si="173"/>
        <v>259.90999999999997</v>
      </c>
      <c r="AR123" s="43">
        <f t="shared" si="173"/>
        <v>1.8900000000000001</v>
      </c>
      <c r="AS123" s="43"/>
      <c r="AT123" s="43"/>
      <c r="AU123" s="43">
        <f t="shared" si="260"/>
        <v>129.91</v>
      </c>
      <c r="AV123" s="43">
        <f t="shared" si="331"/>
        <v>0.92</v>
      </c>
      <c r="AW123" s="43"/>
      <c r="AX123" s="43"/>
      <c r="AY123" s="43">
        <f t="shared" si="166"/>
        <v>432.81999999999994</v>
      </c>
      <c r="AZ123" s="43">
        <f t="shared" si="166"/>
        <v>2.81</v>
      </c>
      <c r="BA123" s="43">
        <f t="shared" si="167"/>
        <v>435.62999999999994</v>
      </c>
      <c r="BB123" s="60">
        <v>420.47</v>
      </c>
      <c r="BC123" s="60">
        <v>2.2200000000000002</v>
      </c>
      <c r="BD123" s="60">
        <f t="shared" si="168"/>
        <v>12.349999999999909</v>
      </c>
      <c r="BE123" s="60">
        <f t="shared" si="168"/>
        <v>0.58999999999999986</v>
      </c>
      <c r="BF123" s="60">
        <f t="shared" si="169"/>
        <v>84.09</v>
      </c>
      <c r="BG123" s="60">
        <f t="shared" si="169"/>
        <v>0.44</v>
      </c>
      <c r="BH123" s="43">
        <v>35.869999999999997</v>
      </c>
      <c r="BI123" s="43">
        <v>15.6</v>
      </c>
      <c r="BJ123" s="43"/>
      <c r="BK123" s="43"/>
      <c r="BL123" s="43">
        <f t="shared" si="180"/>
        <v>468.68999999999994</v>
      </c>
      <c r="BM123" s="43">
        <f t="shared" si="180"/>
        <v>18.41</v>
      </c>
      <c r="BN123" s="43">
        <f t="shared" si="187"/>
        <v>487.09999999999997</v>
      </c>
      <c r="BO123" s="43">
        <v>464.55</v>
      </c>
      <c r="BP123" s="93">
        <v>4.08</v>
      </c>
      <c r="BQ123" s="43">
        <f t="shared" si="188"/>
        <v>4.1399999999999295</v>
      </c>
      <c r="BR123" s="43">
        <f t="shared" si="188"/>
        <v>14.33</v>
      </c>
      <c r="BS123" s="43">
        <f t="shared" si="189"/>
        <v>42.23</v>
      </c>
      <c r="BT123" s="43">
        <f t="shared" si="189"/>
        <v>0.37</v>
      </c>
      <c r="BU123" s="43">
        <v>38.090000000000003</v>
      </c>
      <c r="BV123" s="43">
        <v>0</v>
      </c>
      <c r="BW123" s="43">
        <v>4.22</v>
      </c>
      <c r="BX123" s="43">
        <v>19.989999999999998</v>
      </c>
      <c r="BY123" s="43"/>
      <c r="BZ123" s="43"/>
      <c r="CA123" s="43">
        <v>511</v>
      </c>
      <c r="CB123" s="43">
        <v>38.4</v>
      </c>
      <c r="CC123" s="92">
        <v>562.1</v>
      </c>
      <c r="CD123" s="92">
        <v>44.16</v>
      </c>
      <c r="CE123" s="92">
        <v>47</v>
      </c>
      <c r="CF123" s="92">
        <v>4</v>
      </c>
      <c r="CG123" s="92">
        <f t="shared" si="190"/>
        <v>127.75</v>
      </c>
      <c r="CH123" s="92">
        <f t="shared" si="190"/>
        <v>9.6</v>
      </c>
      <c r="CI123" s="43"/>
      <c r="CJ123" s="43"/>
      <c r="CK123" s="43">
        <v>135</v>
      </c>
      <c r="CL123" s="43">
        <v>0</v>
      </c>
      <c r="CM123" s="43"/>
      <c r="CN123" s="43"/>
      <c r="CO123" s="43">
        <v>600</v>
      </c>
      <c r="CP123" s="72">
        <v>50</v>
      </c>
      <c r="CQ123" s="43">
        <f t="shared" si="191"/>
        <v>540</v>
      </c>
      <c r="CR123" s="43">
        <f t="shared" si="191"/>
        <v>0</v>
      </c>
      <c r="CS123" s="43">
        <f t="shared" si="192"/>
        <v>540</v>
      </c>
      <c r="CT123" s="43">
        <f>IF(CP123&lt;CR123,CP123,CR123)+50</f>
        <v>50</v>
      </c>
      <c r="CU123" s="43">
        <v>540</v>
      </c>
      <c r="CV123" s="43">
        <v>50</v>
      </c>
      <c r="CW123" s="43">
        <f t="shared" si="193"/>
        <v>135</v>
      </c>
      <c r="CX123" s="43">
        <f t="shared" si="193"/>
        <v>12.5</v>
      </c>
      <c r="CY123" s="43"/>
      <c r="CZ123" s="43"/>
      <c r="DA123" s="43">
        <f t="shared" si="194"/>
        <v>317</v>
      </c>
      <c r="DB123" s="43">
        <f t="shared" si="194"/>
        <v>16.5</v>
      </c>
      <c r="DC123" s="43">
        <v>304.56</v>
      </c>
      <c r="DD123" s="43">
        <v>3.18</v>
      </c>
      <c r="DE123" s="43">
        <f t="shared" si="195"/>
        <v>12.439999999999998</v>
      </c>
      <c r="DF123" s="43">
        <f t="shared" si="195"/>
        <v>13.32</v>
      </c>
      <c r="DG123" s="43">
        <f>ROUND(0.25*(MIN(CU123,EW123)),2)</f>
        <v>135</v>
      </c>
      <c r="DH123" s="43">
        <f>ROUND(0.25*(MIN(CV123,EX123)),2)</f>
        <v>9.3800000000000008</v>
      </c>
      <c r="DI123" s="43">
        <f t="shared" si="196"/>
        <v>122.56</v>
      </c>
      <c r="DJ123" s="43">
        <f>+DH123-DF123+3.94</f>
        <v>0</v>
      </c>
      <c r="DK123" s="43"/>
      <c r="DL123" s="43"/>
      <c r="DM123" s="43">
        <f t="shared" si="197"/>
        <v>439.56</v>
      </c>
      <c r="DN123" s="43">
        <f t="shared" si="197"/>
        <v>16.5</v>
      </c>
      <c r="DO123" s="94">
        <v>436.45</v>
      </c>
      <c r="DP123" s="95">
        <v>3.43</v>
      </c>
      <c r="DQ123" s="60">
        <f t="shared" si="198"/>
        <v>3.11</v>
      </c>
      <c r="DR123" s="60">
        <f t="shared" si="198"/>
        <v>13.07</v>
      </c>
      <c r="DS123" s="60">
        <f t="shared" si="199"/>
        <v>43.644999999999996</v>
      </c>
      <c r="DT123" s="60">
        <f t="shared" si="199"/>
        <v>0.34300000000000003</v>
      </c>
      <c r="DU123" s="60">
        <f t="shared" si="200"/>
        <v>40.534999999999997</v>
      </c>
      <c r="DV123" s="60">
        <f t="shared" si="200"/>
        <v>-12.727</v>
      </c>
      <c r="DW123" s="60"/>
      <c r="DX123" s="60"/>
      <c r="DY123" s="60">
        <f t="shared" si="214"/>
        <v>40.54</v>
      </c>
      <c r="DZ123" s="60">
        <v>0</v>
      </c>
      <c r="EA123" s="60"/>
      <c r="EB123" s="60"/>
      <c r="EC123" s="43">
        <f t="shared" si="201"/>
        <v>480.1</v>
      </c>
      <c r="ED123" s="43">
        <f t="shared" si="201"/>
        <v>16.5</v>
      </c>
      <c r="EE123" s="43">
        <v>482.37</v>
      </c>
      <c r="EF123" s="43">
        <v>3.43</v>
      </c>
      <c r="EG123" s="43">
        <f t="shared" si="245"/>
        <v>100.47</v>
      </c>
      <c r="EH123" s="43">
        <f t="shared" si="245"/>
        <v>20.79</v>
      </c>
      <c r="EI123" s="43">
        <f t="shared" si="202"/>
        <v>-2.27</v>
      </c>
      <c r="EJ123" s="43">
        <f t="shared" si="202"/>
        <v>13.07</v>
      </c>
      <c r="EK123" s="43">
        <f t="shared" si="203"/>
        <v>43.85</v>
      </c>
      <c r="EL123" s="43">
        <f t="shared" si="203"/>
        <v>0.31</v>
      </c>
      <c r="EM123" s="43">
        <f t="shared" si="204"/>
        <v>46.120000000000005</v>
      </c>
      <c r="EN123" s="43">
        <f t="shared" si="204"/>
        <v>-12.76</v>
      </c>
      <c r="EO123" s="43">
        <v>47.3</v>
      </c>
      <c r="EP123" s="43">
        <v>0</v>
      </c>
      <c r="EQ123" s="5"/>
      <c r="ER123" s="5"/>
      <c r="ES123" s="5"/>
      <c r="ET123" s="5"/>
      <c r="EU123" s="5">
        <f t="shared" si="270"/>
        <v>12.59999999999998</v>
      </c>
      <c r="EV123" s="5">
        <f t="shared" si="270"/>
        <v>21</v>
      </c>
      <c r="EW123" s="5">
        <v>540</v>
      </c>
      <c r="EX123" s="5">
        <v>37.5</v>
      </c>
      <c r="EY123" s="5">
        <v>550</v>
      </c>
      <c r="EZ123" s="5">
        <v>182</v>
      </c>
    </row>
    <row r="124" spans="1:162" ht="18.75" x14ac:dyDescent="0.25">
      <c r="A124" s="37">
        <v>26</v>
      </c>
      <c r="B124" s="37"/>
      <c r="C124" s="91" t="s">
        <v>260</v>
      </c>
      <c r="D124" s="38" t="s">
        <v>298</v>
      </c>
      <c r="E124" s="39"/>
      <c r="F124" s="40">
        <v>228.61</v>
      </c>
      <c r="G124" s="40">
        <v>0</v>
      </c>
      <c r="H124" s="40">
        <v>267.56</v>
      </c>
      <c r="I124" s="40">
        <v>0</v>
      </c>
      <c r="J124" s="41">
        <v>300</v>
      </c>
      <c r="K124" s="41">
        <v>0</v>
      </c>
      <c r="L124" s="41">
        <v>0</v>
      </c>
      <c r="M124" s="41">
        <f t="shared" si="328"/>
        <v>300</v>
      </c>
      <c r="N124" s="41">
        <v>0</v>
      </c>
      <c r="O124" s="41">
        <v>0</v>
      </c>
      <c r="P124" s="41">
        <v>0</v>
      </c>
      <c r="Q124" s="41">
        <f t="shared" si="329"/>
        <v>0</v>
      </c>
      <c r="R124" s="41">
        <f t="shared" si="330"/>
        <v>300</v>
      </c>
      <c r="S124" s="41">
        <v>0</v>
      </c>
      <c r="T124" s="92"/>
      <c r="U124" s="92"/>
      <c r="V124" s="40">
        <f t="shared" si="335"/>
        <v>283.16000000000003</v>
      </c>
      <c r="W124" s="40">
        <f t="shared" si="336"/>
        <v>0</v>
      </c>
      <c r="X124" s="43">
        <f t="shared" si="170"/>
        <v>16.839999999999975</v>
      </c>
      <c r="Y124" s="43">
        <f t="shared" si="170"/>
        <v>0</v>
      </c>
      <c r="Z124" s="43">
        <v>283.16000000000003</v>
      </c>
      <c r="AA124" s="43"/>
      <c r="AB124" s="43">
        <f t="shared" si="182"/>
        <v>283.16000000000003</v>
      </c>
      <c r="AC124" s="43">
        <f t="shared" si="183"/>
        <v>0</v>
      </c>
      <c r="AD124" s="43">
        <f t="shared" si="337"/>
        <v>283.16000000000003</v>
      </c>
      <c r="AE124" s="43">
        <f t="shared" si="337"/>
        <v>0</v>
      </c>
      <c r="AF124" s="43">
        <f t="shared" si="184"/>
        <v>0</v>
      </c>
      <c r="AG124" s="43">
        <f t="shared" si="171"/>
        <v>71</v>
      </c>
      <c r="AH124" s="43">
        <f t="shared" si="171"/>
        <v>0</v>
      </c>
      <c r="AI124" s="93">
        <f t="shared" si="172"/>
        <v>24</v>
      </c>
      <c r="AJ124" s="43">
        <f t="shared" si="172"/>
        <v>0</v>
      </c>
      <c r="AK124" s="43"/>
      <c r="AL124" s="43"/>
      <c r="AM124" s="43">
        <f t="shared" si="185"/>
        <v>70.790000000000006</v>
      </c>
      <c r="AN124" s="43">
        <f t="shared" si="186"/>
        <v>0</v>
      </c>
      <c r="AO124" s="43"/>
      <c r="AP124" s="43"/>
      <c r="AQ124" s="43">
        <f t="shared" si="173"/>
        <v>141.79000000000002</v>
      </c>
      <c r="AR124" s="43">
        <f t="shared" si="173"/>
        <v>0</v>
      </c>
      <c r="AS124" s="43"/>
      <c r="AT124" s="43"/>
      <c r="AU124" s="43">
        <f t="shared" si="260"/>
        <v>70.790000000000006</v>
      </c>
      <c r="AV124" s="43">
        <f t="shared" si="331"/>
        <v>0</v>
      </c>
      <c r="AW124" s="43"/>
      <c r="AX124" s="43"/>
      <c r="AY124" s="43">
        <f t="shared" si="166"/>
        <v>236.58000000000004</v>
      </c>
      <c r="AZ124" s="43">
        <f t="shared" si="166"/>
        <v>0</v>
      </c>
      <c r="BA124" s="43">
        <f t="shared" si="167"/>
        <v>236.58000000000004</v>
      </c>
      <c r="BB124" s="60">
        <v>163.75</v>
      </c>
      <c r="BC124" s="60"/>
      <c r="BD124" s="60">
        <f t="shared" si="168"/>
        <v>72.830000000000041</v>
      </c>
      <c r="BE124" s="60">
        <f t="shared" si="168"/>
        <v>0</v>
      </c>
      <c r="BF124" s="60">
        <f t="shared" si="169"/>
        <v>32.75</v>
      </c>
      <c r="BG124" s="60">
        <f t="shared" si="169"/>
        <v>0</v>
      </c>
      <c r="BH124" s="43">
        <v>0</v>
      </c>
      <c r="BI124" s="43">
        <v>0</v>
      </c>
      <c r="BJ124" s="43"/>
      <c r="BK124" s="43"/>
      <c r="BL124" s="43">
        <f t="shared" si="180"/>
        <v>236.58000000000004</v>
      </c>
      <c r="BM124" s="43">
        <f t="shared" si="180"/>
        <v>0</v>
      </c>
      <c r="BN124" s="43">
        <f t="shared" si="187"/>
        <v>236.58000000000004</v>
      </c>
      <c r="BO124" s="43">
        <v>163.75</v>
      </c>
      <c r="BP124" s="93"/>
      <c r="BQ124" s="43">
        <f t="shared" si="188"/>
        <v>72.830000000000041</v>
      </c>
      <c r="BR124" s="43">
        <f t="shared" si="188"/>
        <v>0</v>
      </c>
      <c r="BS124" s="43">
        <f t="shared" si="189"/>
        <v>14.89</v>
      </c>
      <c r="BT124" s="43">
        <f t="shared" si="189"/>
        <v>0</v>
      </c>
      <c r="BU124" s="43">
        <v>0</v>
      </c>
      <c r="BV124" s="43">
        <f t="shared" ref="BV124:BV128" si="338">ROUND(BT124-BR124,2)</f>
        <v>0</v>
      </c>
      <c r="BW124" s="43"/>
      <c r="BX124" s="43"/>
      <c r="BY124" s="43"/>
      <c r="BZ124" s="43"/>
      <c r="CA124" s="43">
        <v>236.58000000000004</v>
      </c>
      <c r="CB124" s="43">
        <v>0</v>
      </c>
      <c r="CC124" s="92">
        <v>260.24</v>
      </c>
      <c r="CD124" s="92">
        <v>0</v>
      </c>
      <c r="CE124" s="92">
        <v>22</v>
      </c>
      <c r="CF124" s="92">
        <v>0</v>
      </c>
      <c r="CG124" s="92">
        <f t="shared" si="190"/>
        <v>59.15</v>
      </c>
      <c r="CH124" s="92">
        <f t="shared" si="190"/>
        <v>0</v>
      </c>
      <c r="CI124" s="43"/>
      <c r="CJ124" s="43"/>
      <c r="CK124" s="43">
        <v>60</v>
      </c>
      <c r="CL124" s="43">
        <v>0</v>
      </c>
      <c r="CM124" s="43"/>
      <c r="CN124" s="43"/>
      <c r="CO124" s="43">
        <v>285</v>
      </c>
      <c r="CP124" s="43"/>
      <c r="CQ124" s="43">
        <f t="shared" si="191"/>
        <v>240</v>
      </c>
      <c r="CR124" s="43">
        <f t="shared" si="191"/>
        <v>0</v>
      </c>
      <c r="CS124" s="43">
        <f t="shared" si="192"/>
        <v>240</v>
      </c>
      <c r="CT124" s="43">
        <f t="shared" si="192"/>
        <v>0</v>
      </c>
      <c r="CU124" s="43">
        <v>240</v>
      </c>
      <c r="CV124" s="43">
        <v>0</v>
      </c>
      <c r="CW124" s="43">
        <f t="shared" si="193"/>
        <v>60</v>
      </c>
      <c r="CX124" s="43">
        <f t="shared" si="193"/>
        <v>0</v>
      </c>
      <c r="CY124" s="43"/>
      <c r="CZ124" s="43"/>
      <c r="DA124" s="43">
        <f t="shared" si="194"/>
        <v>142</v>
      </c>
      <c r="DB124" s="43">
        <f t="shared" si="194"/>
        <v>0</v>
      </c>
      <c r="DC124" s="43">
        <v>142</v>
      </c>
      <c r="DD124" s="43">
        <v>0</v>
      </c>
      <c r="DE124" s="43">
        <f t="shared" si="195"/>
        <v>0</v>
      </c>
      <c r="DF124" s="43">
        <f t="shared" si="195"/>
        <v>0</v>
      </c>
      <c r="DG124" s="43">
        <f>ROUND(0.25*(MIN(CU124,EW124)),2)</f>
        <v>60</v>
      </c>
      <c r="DH124" s="43">
        <f>ROUND(0.25*(MIN(CV124,EX124)),2)</f>
        <v>0</v>
      </c>
      <c r="DI124" s="43">
        <f t="shared" si="196"/>
        <v>60</v>
      </c>
      <c r="DJ124" s="43">
        <f>+DH124-DF124</f>
        <v>0</v>
      </c>
      <c r="DK124" s="43"/>
      <c r="DL124" s="43"/>
      <c r="DM124" s="43">
        <f t="shared" si="197"/>
        <v>202</v>
      </c>
      <c r="DN124" s="43">
        <f t="shared" si="197"/>
        <v>0</v>
      </c>
      <c r="DO124" s="94">
        <v>202</v>
      </c>
      <c r="DP124" s="94">
        <v>0</v>
      </c>
      <c r="DQ124" s="60">
        <f t="shared" si="198"/>
        <v>0</v>
      </c>
      <c r="DR124" s="60">
        <f t="shared" si="198"/>
        <v>0</v>
      </c>
      <c r="DS124" s="60">
        <f t="shared" si="199"/>
        <v>20.2</v>
      </c>
      <c r="DT124" s="60">
        <f t="shared" si="199"/>
        <v>0</v>
      </c>
      <c r="DU124" s="60">
        <f t="shared" si="200"/>
        <v>20.2</v>
      </c>
      <c r="DV124" s="60">
        <f t="shared" si="200"/>
        <v>0</v>
      </c>
      <c r="DW124" s="60"/>
      <c r="DX124" s="60"/>
      <c r="DY124" s="60">
        <f t="shared" si="214"/>
        <v>20.2</v>
      </c>
      <c r="DZ124" s="60">
        <f t="shared" si="181"/>
        <v>0</v>
      </c>
      <c r="EA124" s="60"/>
      <c r="EB124" s="60"/>
      <c r="EC124" s="43">
        <f t="shared" si="201"/>
        <v>222.2</v>
      </c>
      <c r="ED124" s="43">
        <f t="shared" si="201"/>
        <v>0</v>
      </c>
      <c r="EE124" s="43">
        <v>202</v>
      </c>
      <c r="EF124" s="43">
        <v>0</v>
      </c>
      <c r="EG124" s="43">
        <f t="shared" si="245"/>
        <v>90.91</v>
      </c>
      <c r="EH124" s="43" t="e">
        <f t="shared" si="245"/>
        <v>#DIV/0!</v>
      </c>
      <c r="EI124" s="43">
        <f t="shared" si="202"/>
        <v>20.2</v>
      </c>
      <c r="EJ124" s="43">
        <f t="shared" si="202"/>
        <v>0</v>
      </c>
      <c r="EK124" s="43">
        <f t="shared" si="203"/>
        <v>18.36</v>
      </c>
      <c r="EL124" s="43">
        <f t="shared" si="203"/>
        <v>0</v>
      </c>
      <c r="EM124" s="43">
        <f t="shared" si="204"/>
        <v>-1.8399999999999999</v>
      </c>
      <c r="EN124" s="43">
        <f t="shared" si="204"/>
        <v>0</v>
      </c>
      <c r="EO124" s="43">
        <v>17.8</v>
      </c>
      <c r="EP124" s="43">
        <v>0</v>
      </c>
      <c r="EQ124" s="5"/>
      <c r="ER124" s="5"/>
      <c r="ES124" s="5"/>
      <c r="ET124" s="5"/>
      <c r="EU124" s="5">
        <f t="shared" si="270"/>
        <v>0</v>
      </c>
      <c r="EV124" s="5">
        <f t="shared" si="270"/>
        <v>0</v>
      </c>
      <c r="EW124" s="5">
        <v>240</v>
      </c>
      <c r="EY124" s="5">
        <v>250</v>
      </c>
    </row>
    <row r="125" spans="1:162" ht="18.75" x14ac:dyDescent="0.25">
      <c r="A125" s="68"/>
      <c r="B125" s="68" t="s">
        <v>299</v>
      </c>
      <c r="C125" s="91" t="s">
        <v>260</v>
      </c>
      <c r="D125" s="67" t="s">
        <v>297</v>
      </c>
      <c r="E125" s="69" t="s">
        <v>300</v>
      </c>
      <c r="F125" s="70">
        <v>719.6099999999999</v>
      </c>
      <c r="G125" s="70">
        <v>8.3099999999999987</v>
      </c>
      <c r="H125" s="70">
        <v>758.56</v>
      </c>
      <c r="I125" s="70">
        <v>3.5399999999999991</v>
      </c>
      <c r="J125" s="71">
        <f t="shared" ref="J125:AA125" si="339">+J123+J124</f>
        <v>865</v>
      </c>
      <c r="K125" s="71">
        <f t="shared" si="339"/>
        <v>0</v>
      </c>
      <c r="L125" s="71">
        <f t="shared" si="339"/>
        <v>0</v>
      </c>
      <c r="M125" s="71">
        <f t="shared" si="339"/>
        <v>865</v>
      </c>
      <c r="N125" s="71">
        <f t="shared" si="339"/>
        <v>0</v>
      </c>
      <c r="O125" s="71">
        <f t="shared" si="339"/>
        <v>0</v>
      </c>
      <c r="P125" s="71">
        <f t="shared" si="339"/>
        <v>0</v>
      </c>
      <c r="Q125" s="71">
        <f t="shared" si="339"/>
        <v>0</v>
      </c>
      <c r="R125" s="71">
        <f t="shared" si="339"/>
        <v>865</v>
      </c>
      <c r="S125" s="71">
        <f t="shared" si="339"/>
        <v>40</v>
      </c>
      <c r="T125" s="71">
        <f t="shared" si="339"/>
        <v>0</v>
      </c>
      <c r="U125" s="71">
        <f t="shared" si="339"/>
        <v>0</v>
      </c>
      <c r="V125" s="71">
        <f t="shared" si="339"/>
        <v>802.79</v>
      </c>
      <c r="W125" s="71">
        <f t="shared" si="339"/>
        <v>3.66</v>
      </c>
      <c r="X125" s="71">
        <f t="shared" si="339"/>
        <v>62.20999999999998</v>
      </c>
      <c r="Y125" s="71">
        <f t="shared" si="339"/>
        <v>36.340000000000003</v>
      </c>
      <c r="Z125" s="71">
        <f t="shared" si="339"/>
        <v>802.79</v>
      </c>
      <c r="AA125" s="71">
        <f t="shared" si="339"/>
        <v>0</v>
      </c>
      <c r="AB125" s="70">
        <f t="shared" si="182"/>
        <v>802.79</v>
      </c>
      <c r="AC125" s="43">
        <f t="shared" si="183"/>
        <v>0</v>
      </c>
      <c r="AD125" s="70">
        <f t="shared" ref="AD125:CO125" si="340">+AD123+AD124</f>
        <v>802.79</v>
      </c>
      <c r="AE125" s="70">
        <f t="shared" si="340"/>
        <v>3.66</v>
      </c>
      <c r="AF125" s="70">
        <f t="shared" si="340"/>
        <v>36.090000000000003</v>
      </c>
      <c r="AG125" s="70">
        <f t="shared" si="340"/>
        <v>201</v>
      </c>
      <c r="AH125" s="70">
        <f t="shared" si="340"/>
        <v>1</v>
      </c>
      <c r="AI125" s="96">
        <f t="shared" si="340"/>
        <v>67</v>
      </c>
      <c r="AJ125" s="70">
        <f t="shared" si="340"/>
        <v>0</v>
      </c>
      <c r="AK125" s="70">
        <f t="shared" si="340"/>
        <v>0</v>
      </c>
      <c r="AL125" s="70">
        <f t="shared" si="340"/>
        <v>0</v>
      </c>
      <c r="AM125" s="70">
        <f t="shared" si="340"/>
        <v>200.7</v>
      </c>
      <c r="AN125" s="70">
        <f t="shared" si="340"/>
        <v>0.89</v>
      </c>
      <c r="AO125" s="70">
        <f t="shared" si="340"/>
        <v>0</v>
      </c>
      <c r="AP125" s="70">
        <f t="shared" si="340"/>
        <v>0</v>
      </c>
      <c r="AQ125" s="70">
        <f t="shared" si="340"/>
        <v>401.7</v>
      </c>
      <c r="AR125" s="70">
        <f t="shared" si="340"/>
        <v>1.8900000000000001</v>
      </c>
      <c r="AS125" s="70">
        <f t="shared" si="340"/>
        <v>0</v>
      </c>
      <c r="AT125" s="70">
        <f t="shared" si="340"/>
        <v>0</v>
      </c>
      <c r="AU125" s="70">
        <f t="shared" si="340"/>
        <v>200.7</v>
      </c>
      <c r="AV125" s="70">
        <f t="shared" si="340"/>
        <v>0.92</v>
      </c>
      <c r="AW125" s="70">
        <f t="shared" si="340"/>
        <v>0</v>
      </c>
      <c r="AX125" s="70">
        <f t="shared" si="340"/>
        <v>0</v>
      </c>
      <c r="AY125" s="70">
        <f t="shared" si="340"/>
        <v>669.4</v>
      </c>
      <c r="AZ125" s="70">
        <f t="shared" si="340"/>
        <v>2.81</v>
      </c>
      <c r="BA125" s="70">
        <f t="shared" si="340"/>
        <v>672.21</v>
      </c>
      <c r="BB125" s="70">
        <f t="shared" si="340"/>
        <v>584.22</v>
      </c>
      <c r="BC125" s="70">
        <f t="shared" si="340"/>
        <v>2.2200000000000002</v>
      </c>
      <c r="BD125" s="70">
        <f t="shared" si="340"/>
        <v>85.17999999999995</v>
      </c>
      <c r="BE125" s="70">
        <f t="shared" si="340"/>
        <v>0.58999999999999986</v>
      </c>
      <c r="BF125" s="70">
        <f t="shared" si="340"/>
        <v>116.84</v>
      </c>
      <c r="BG125" s="96">
        <f t="shared" si="340"/>
        <v>0.44</v>
      </c>
      <c r="BH125" s="96">
        <f t="shared" si="340"/>
        <v>35.869999999999997</v>
      </c>
      <c r="BI125" s="96">
        <f t="shared" si="340"/>
        <v>15.6</v>
      </c>
      <c r="BJ125" s="96">
        <f t="shared" si="340"/>
        <v>0</v>
      </c>
      <c r="BK125" s="96">
        <f t="shared" si="340"/>
        <v>0</v>
      </c>
      <c r="BL125" s="96">
        <f t="shared" si="340"/>
        <v>705.27</v>
      </c>
      <c r="BM125" s="96">
        <f t="shared" si="340"/>
        <v>18.41</v>
      </c>
      <c r="BN125" s="96">
        <f t="shared" si="340"/>
        <v>723.68000000000006</v>
      </c>
      <c r="BO125" s="96">
        <f t="shared" si="340"/>
        <v>628.29999999999995</v>
      </c>
      <c r="BP125" s="96">
        <f t="shared" si="340"/>
        <v>4.08</v>
      </c>
      <c r="BQ125" s="70">
        <f t="shared" si="340"/>
        <v>76.96999999999997</v>
      </c>
      <c r="BR125" s="70">
        <f t="shared" si="340"/>
        <v>14.33</v>
      </c>
      <c r="BS125" s="70">
        <f t="shared" si="340"/>
        <v>57.12</v>
      </c>
      <c r="BT125" s="70">
        <f t="shared" si="340"/>
        <v>0.37</v>
      </c>
      <c r="BU125" s="70">
        <f t="shared" si="340"/>
        <v>38.090000000000003</v>
      </c>
      <c r="BV125" s="70">
        <f t="shared" si="340"/>
        <v>0</v>
      </c>
      <c r="BW125" s="70">
        <f t="shared" si="340"/>
        <v>4.22</v>
      </c>
      <c r="BX125" s="70">
        <f t="shared" si="340"/>
        <v>19.989999999999998</v>
      </c>
      <c r="BY125" s="70">
        <f t="shared" si="340"/>
        <v>0</v>
      </c>
      <c r="BZ125" s="70">
        <f t="shared" si="340"/>
        <v>0</v>
      </c>
      <c r="CA125" s="70">
        <f t="shared" si="340"/>
        <v>747.58</v>
      </c>
      <c r="CB125" s="70">
        <f t="shared" si="340"/>
        <v>38.4</v>
      </c>
      <c r="CC125" s="70">
        <f t="shared" si="340"/>
        <v>822.34</v>
      </c>
      <c r="CD125" s="70">
        <f t="shared" si="340"/>
        <v>44.16</v>
      </c>
      <c r="CE125" s="70">
        <f t="shared" si="340"/>
        <v>69</v>
      </c>
      <c r="CF125" s="70">
        <f t="shared" si="340"/>
        <v>4</v>
      </c>
      <c r="CG125" s="70">
        <f t="shared" si="340"/>
        <v>186.9</v>
      </c>
      <c r="CH125" s="96">
        <f t="shared" si="340"/>
        <v>9.6</v>
      </c>
      <c r="CI125" s="70">
        <f t="shared" si="340"/>
        <v>0</v>
      </c>
      <c r="CJ125" s="70">
        <f t="shared" si="340"/>
        <v>0</v>
      </c>
      <c r="CK125" s="70">
        <f t="shared" si="340"/>
        <v>195</v>
      </c>
      <c r="CL125" s="70">
        <f t="shared" si="340"/>
        <v>0</v>
      </c>
      <c r="CM125" s="70">
        <f t="shared" si="340"/>
        <v>0</v>
      </c>
      <c r="CN125" s="70">
        <f t="shared" si="340"/>
        <v>0</v>
      </c>
      <c r="CO125" s="70">
        <f t="shared" si="340"/>
        <v>885</v>
      </c>
      <c r="CP125" s="70">
        <f t="shared" ref="CP125:FC125" si="341">+CP123+CP124</f>
        <v>50</v>
      </c>
      <c r="CQ125" s="70">
        <f t="shared" si="341"/>
        <v>780</v>
      </c>
      <c r="CR125" s="70">
        <f t="shared" si="341"/>
        <v>0</v>
      </c>
      <c r="CS125" s="70">
        <f t="shared" si="341"/>
        <v>780</v>
      </c>
      <c r="CT125" s="70">
        <f t="shared" si="341"/>
        <v>50</v>
      </c>
      <c r="CU125" s="70">
        <f t="shared" si="341"/>
        <v>780</v>
      </c>
      <c r="CV125" s="70">
        <f t="shared" si="341"/>
        <v>50</v>
      </c>
      <c r="CW125" s="70">
        <f t="shared" si="341"/>
        <v>195</v>
      </c>
      <c r="CX125" s="70">
        <f t="shared" si="341"/>
        <v>12.5</v>
      </c>
      <c r="CY125" s="70">
        <f t="shared" si="341"/>
        <v>0</v>
      </c>
      <c r="CZ125" s="70">
        <f t="shared" si="341"/>
        <v>0</v>
      </c>
      <c r="DA125" s="70">
        <f t="shared" si="341"/>
        <v>459</v>
      </c>
      <c r="DB125" s="70">
        <f t="shared" si="341"/>
        <v>16.5</v>
      </c>
      <c r="DC125" s="70">
        <f t="shared" si="341"/>
        <v>446.56</v>
      </c>
      <c r="DD125" s="70">
        <f t="shared" si="341"/>
        <v>3.18</v>
      </c>
      <c r="DE125" s="70">
        <f t="shared" si="341"/>
        <v>12.439999999999998</v>
      </c>
      <c r="DF125" s="70">
        <f t="shared" si="341"/>
        <v>13.32</v>
      </c>
      <c r="DG125" s="70">
        <f t="shared" si="341"/>
        <v>195</v>
      </c>
      <c r="DH125" s="70">
        <f t="shared" si="341"/>
        <v>9.3800000000000008</v>
      </c>
      <c r="DI125" s="70">
        <f t="shared" si="341"/>
        <v>182.56</v>
      </c>
      <c r="DJ125" s="70">
        <f t="shared" si="341"/>
        <v>0</v>
      </c>
      <c r="DK125" s="70">
        <f t="shared" si="341"/>
        <v>0</v>
      </c>
      <c r="DL125" s="70">
        <f t="shared" si="341"/>
        <v>0</v>
      </c>
      <c r="DM125" s="70">
        <f t="shared" si="341"/>
        <v>641.55999999999995</v>
      </c>
      <c r="DN125" s="70">
        <f t="shared" si="341"/>
        <v>16.5</v>
      </c>
      <c r="DO125" s="70">
        <f t="shared" si="341"/>
        <v>638.45000000000005</v>
      </c>
      <c r="DP125" s="70">
        <f t="shared" si="341"/>
        <v>3.43</v>
      </c>
      <c r="DQ125" s="70">
        <f t="shared" si="341"/>
        <v>3.11</v>
      </c>
      <c r="DR125" s="70">
        <f t="shared" si="341"/>
        <v>13.07</v>
      </c>
      <c r="DS125" s="70">
        <f t="shared" si="341"/>
        <v>63.844999999999999</v>
      </c>
      <c r="DT125" s="70">
        <f t="shared" si="341"/>
        <v>0.34300000000000003</v>
      </c>
      <c r="DU125" s="70">
        <f t="shared" si="341"/>
        <v>60.734999999999999</v>
      </c>
      <c r="DV125" s="70">
        <f t="shared" si="341"/>
        <v>-12.727</v>
      </c>
      <c r="DW125" s="70">
        <f t="shared" si="341"/>
        <v>0</v>
      </c>
      <c r="DX125" s="70">
        <f t="shared" si="341"/>
        <v>0</v>
      </c>
      <c r="DY125" s="70">
        <f t="shared" si="341"/>
        <v>60.739999999999995</v>
      </c>
      <c r="DZ125" s="70">
        <f t="shared" si="341"/>
        <v>0</v>
      </c>
      <c r="EA125" s="70">
        <f t="shared" si="341"/>
        <v>0</v>
      </c>
      <c r="EB125" s="96">
        <f t="shared" si="341"/>
        <v>0</v>
      </c>
      <c r="EC125" s="70">
        <f t="shared" si="341"/>
        <v>702.3</v>
      </c>
      <c r="ED125" s="70">
        <f t="shared" si="341"/>
        <v>16.5</v>
      </c>
      <c r="EE125" s="70">
        <f t="shared" si="341"/>
        <v>684.37</v>
      </c>
      <c r="EF125" s="70">
        <f t="shared" si="341"/>
        <v>3.43</v>
      </c>
      <c r="EG125" s="70">
        <f t="shared" si="341"/>
        <v>191.38</v>
      </c>
      <c r="EH125" s="70" t="e">
        <f t="shared" si="341"/>
        <v>#DIV/0!</v>
      </c>
      <c r="EI125" s="70">
        <f t="shared" si="341"/>
        <v>17.93</v>
      </c>
      <c r="EJ125" s="70">
        <f t="shared" si="341"/>
        <v>13.07</v>
      </c>
      <c r="EK125" s="70">
        <f t="shared" si="341"/>
        <v>62.21</v>
      </c>
      <c r="EL125" s="70">
        <f t="shared" si="341"/>
        <v>0.31</v>
      </c>
      <c r="EM125" s="70">
        <f t="shared" si="341"/>
        <v>44.28</v>
      </c>
      <c r="EN125" s="70">
        <f t="shared" si="341"/>
        <v>-12.76</v>
      </c>
      <c r="EO125" s="70">
        <f t="shared" si="341"/>
        <v>65.099999999999994</v>
      </c>
      <c r="EP125" s="70">
        <f t="shared" si="341"/>
        <v>0</v>
      </c>
      <c r="EQ125" s="66">
        <f t="shared" si="341"/>
        <v>0</v>
      </c>
      <c r="ER125" s="46">
        <f t="shared" si="341"/>
        <v>0</v>
      </c>
      <c r="ES125" s="46">
        <f t="shared" si="341"/>
        <v>0</v>
      </c>
      <c r="ET125" s="46">
        <f t="shared" si="341"/>
        <v>0</v>
      </c>
      <c r="EU125" s="5">
        <f t="shared" si="270"/>
        <v>12.600000000000051</v>
      </c>
      <c r="EV125" s="5">
        <f t="shared" si="270"/>
        <v>21</v>
      </c>
      <c r="EW125" s="46">
        <f t="shared" si="341"/>
        <v>780</v>
      </c>
      <c r="EX125" s="46">
        <f t="shared" si="341"/>
        <v>37.5</v>
      </c>
      <c r="EY125" s="46">
        <f t="shared" si="341"/>
        <v>800</v>
      </c>
      <c r="EZ125" s="46">
        <f t="shared" si="341"/>
        <v>182</v>
      </c>
      <c r="FA125" s="46">
        <f t="shared" si="341"/>
        <v>0</v>
      </c>
      <c r="FB125" s="46">
        <f t="shared" si="341"/>
        <v>0</v>
      </c>
      <c r="FC125" s="46">
        <f t="shared" si="341"/>
        <v>0</v>
      </c>
    </row>
    <row r="126" spans="1:162" ht="18.75" x14ac:dyDescent="0.25">
      <c r="A126" s="68">
        <v>27</v>
      </c>
      <c r="B126" s="68" t="s">
        <v>301</v>
      </c>
      <c r="C126" s="91" t="s">
        <v>117</v>
      </c>
      <c r="D126" s="67" t="s">
        <v>302</v>
      </c>
      <c r="E126" s="69" t="s">
        <v>303</v>
      </c>
      <c r="F126" s="40">
        <v>585.24</v>
      </c>
      <c r="G126" s="40">
        <v>128.16</v>
      </c>
      <c r="H126" s="40">
        <v>585.24</v>
      </c>
      <c r="I126" s="70">
        <v>128.16</v>
      </c>
      <c r="J126" s="71">
        <v>640</v>
      </c>
      <c r="K126" s="71">
        <v>0</v>
      </c>
      <c r="L126" s="71">
        <v>0</v>
      </c>
      <c r="M126" s="71">
        <f>J126+K126+L126</f>
        <v>640</v>
      </c>
      <c r="N126" s="71">
        <v>0</v>
      </c>
      <c r="O126" s="71">
        <v>0</v>
      </c>
      <c r="P126" s="71">
        <v>0</v>
      </c>
      <c r="Q126" s="71">
        <f>+N126+O126+P126</f>
        <v>0</v>
      </c>
      <c r="R126" s="71">
        <f>+Q126+M126</f>
        <v>640</v>
      </c>
      <c r="S126" s="71">
        <v>30</v>
      </c>
      <c r="T126" s="92"/>
      <c r="U126" s="92"/>
      <c r="V126" s="70">
        <f t="shared" ref="V126:V133" si="342">ROUND(H126*1.0583,2)</f>
        <v>619.36</v>
      </c>
      <c r="W126" s="70">
        <f t="shared" ref="W126:W133" si="343">ROUND(I126*1.0327,2)</f>
        <v>132.35</v>
      </c>
      <c r="X126" s="70">
        <f t="shared" si="170"/>
        <v>20.639999999999986</v>
      </c>
      <c r="Y126" s="70">
        <f t="shared" si="170"/>
        <v>-102.35</v>
      </c>
      <c r="Z126" s="70">
        <v>619.36</v>
      </c>
      <c r="AA126" s="70"/>
      <c r="AB126" s="70">
        <f t="shared" si="182"/>
        <v>619.36</v>
      </c>
      <c r="AC126" s="43">
        <f t="shared" si="183"/>
        <v>0</v>
      </c>
      <c r="AD126" s="70">
        <f t="shared" ref="AD126:AE133" si="344">IF(X126&gt;0,V126,R126)</f>
        <v>619.36</v>
      </c>
      <c r="AE126" s="70">
        <f t="shared" si="344"/>
        <v>30</v>
      </c>
      <c r="AF126" s="70">
        <f t="shared" si="184"/>
        <v>27.07</v>
      </c>
      <c r="AG126" s="43">
        <f t="shared" si="171"/>
        <v>155</v>
      </c>
      <c r="AH126" s="43">
        <f t="shared" si="171"/>
        <v>8</v>
      </c>
      <c r="AI126" s="93">
        <f t="shared" si="172"/>
        <v>52</v>
      </c>
      <c r="AJ126" s="43">
        <f t="shared" si="172"/>
        <v>3</v>
      </c>
      <c r="AK126" s="43"/>
      <c r="AL126" s="43"/>
      <c r="AM126" s="43">
        <f t="shared" si="185"/>
        <v>154.84</v>
      </c>
      <c r="AN126" s="43">
        <f t="shared" si="186"/>
        <v>7.31</v>
      </c>
      <c r="AO126" s="43"/>
      <c r="AP126" s="43"/>
      <c r="AQ126" s="43">
        <f t="shared" si="173"/>
        <v>309.84000000000003</v>
      </c>
      <c r="AR126" s="43">
        <f t="shared" si="173"/>
        <v>15.309999999999999</v>
      </c>
      <c r="AS126" s="43"/>
      <c r="AT126" s="43"/>
      <c r="AU126" s="43">
        <f t="shared" si="260"/>
        <v>154.84</v>
      </c>
      <c r="AV126" s="43">
        <v>28.69</v>
      </c>
      <c r="AW126" s="43">
        <v>22.4</v>
      </c>
      <c r="AX126" s="43"/>
      <c r="AY126" s="43">
        <f t="shared" si="166"/>
        <v>539.08000000000004</v>
      </c>
      <c r="AZ126" s="43">
        <f t="shared" si="166"/>
        <v>47</v>
      </c>
      <c r="BA126" s="43">
        <f t="shared" si="167"/>
        <v>586.08000000000004</v>
      </c>
      <c r="BB126" s="60">
        <v>539.54</v>
      </c>
      <c r="BC126" s="60">
        <v>45.59</v>
      </c>
      <c r="BD126" s="60">
        <f t="shared" si="168"/>
        <v>-0.45999999999992269</v>
      </c>
      <c r="BE126" s="60">
        <f t="shared" si="168"/>
        <v>1.4099999999999966</v>
      </c>
      <c r="BF126" s="60">
        <f t="shared" si="169"/>
        <v>107.91</v>
      </c>
      <c r="BG126" s="60">
        <f t="shared" si="169"/>
        <v>9.1199999999999992</v>
      </c>
      <c r="BH126" s="43">
        <v>54.46</v>
      </c>
      <c r="BI126" s="43">
        <v>1</v>
      </c>
      <c r="BJ126" s="43"/>
      <c r="BK126" s="43"/>
      <c r="BL126" s="43">
        <f t="shared" si="180"/>
        <v>593.54000000000008</v>
      </c>
      <c r="BM126" s="43">
        <f t="shared" si="180"/>
        <v>48</v>
      </c>
      <c r="BN126" s="43">
        <f t="shared" si="187"/>
        <v>641.54000000000008</v>
      </c>
      <c r="BO126" s="43">
        <v>593.05999999999995</v>
      </c>
      <c r="BP126" s="93">
        <v>45.86</v>
      </c>
      <c r="BQ126" s="43">
        <f t="shared" si="188"/>
        <v>0.48000000000013188</v>
      </c>
      <c r="BR126" s="43">
        <f t="shared" si="188"/>
        <v>2.1400000000000006</v>
      </c>
      <c r="BS126" s="43">
        <f t="shared" si="189"/>
        <v>53.91</v>
      </c>
      <c r="BT126" s="43">
        <f t="shared" si="189"/>
        <v>4.17</v>
      </c>
      <c r="BU126" s="43">
        <v>53.43</v>
      </c>
      <c r="BV126" s="43">
        <v>0</v>
      </c>
      <c r="BW126" s="43"/>
      <c r="BX126" s="43"/>
      <c r="BY126" s="43"/>
      <c r="BZ126" s="43"/>
      <c r="CA126" s="43">
        <v>646.97</v>
      </c>
      <c r="CB126" s="43">
        <v>48</v>
      </c>
      <c r="CC126" s="92">
        <v>711.67</v>
      </c>
      <c r="CD126" s="92">
        <v>55.2</v>
      </c>
      <c r="CE126" s="92">
        <v>59</v>
      </c>
      <c r="CF126" s="92">
        <v>5</v>
      </c>
      <c r="CG126" s="92">
        <f t="shared" si="190"/>
        <v>161.74</v>
      </c>
      <c r="CH126" s="92">
        <f t="shared" si="190"/>
        <v>12</v>
      </c>
      <c r="CI126" s="43"/>
      <c r="CJ126" s="43"/>
      <c r="CK126" s="43">
        <v>185</v>
      </c>
      <c r="CL126" s="43">
        <v>12</v>
      </c>
      <c r="CM126" s="43"/>
      <c r="CN126" s="43"/>
      <c r="CO126" s="43">
        <v>726</v>
      </c>
      <c r="CP126" s="43">
        <v>80</v>
      </c>
      <c r="CQ126" s="43">
        <f t="shared" si="191"/>
        <v>740</v>
      </c>
      <c r="CR126" s="43">
        <f t="shared" si="191"/>
        <v>48</v>
      </c>
      <c r="CS126" s="43">
        <f t="shared" si="192"/>
        <v>726</v>
      </c>
      <c r="CT126" s="43">
        <f t="shared" si="192"/>
        <v>48</v>
      </c>
      <c r="CU126" s="43">
        <f t="shared" si="192"/>
        <v>726</v>
      </c>
      <c r="CV126" s="43">
        <f t="shared" si="192"/>
        <v>48</v>
      </c>
      <c r="CW126" s="43">
        <f t="shared" si="193"/>
        <v>181.5</v>
      </c>
      <c r="CX126" s="43">
        <f>ROUND(CV126*25%,2)-5</f>
        <v>7</v>
      </c>
      <c r="CY126" s="43"/>
      <c r="CZ126" s="43"/>
      <c r="DA126" s="43">
        <f t="shared" si="194"/>
        <v>425.5</v>
      </c>
      <c r="DB126" s="43">
        <f t="shared" si="194"/>
        <v>24</v>
      </c>
      <c r="DC126" s="43">
        <v>424.1</v>
      </c>
      <c r="DD126" s="43">
        <v>23</v>
      </c>
      <c r="DE126" s="43">
        <f t="shared" si="195"/>
        <v>1.3999999999999773</v>
      </c>
      <c r="DF126" s="43">
        <f t="shared" si="195"/>
        <v>1</v>
      </c>
      <c r="DG126" s="43">
        <f t="shared" ref="DG126:DH133" si="345">ROUND(0.25*(MIN(CU126,EW126)),2)</f>
        <v>181.5</v>
      </c>
      <c r="DH126" s="43">
        <f t="shared" si="345"/>
        <v>12</v>
      </c>
      <c r="DI126" s="43">
        <f t="shared" si="196"/>
        <v>180.10000000000002</v>
      </c>
      <c r="DJ126" s="43">
        <f>+DH126-DF126</f>
        <v>11</v>
      </c>
      <c r="DK126" s="43"/>
      <c r="DL126" s="43"/>
      <c r="DM126" s="43">
        <f t="shared" si="197"/>
        <v>605.6</v>
      </c>
      <c r="DN126" s="43">
        <f t="shared" si="197"/>
        <v>35</v>
      </c>
      <c r="DO126" s="94">
        <v>591.74</v>
      </c>
      <c r="DP126" s="95">
        <v>24.42</v>
      </c>
      <c r="DQ126" s="60">
        <f t="shared" si="198"/>
        <v>13.86</v>
      </c>
      <c r="DR126" s="60">
        <f t="shared" si="198"/>
        <v>10.58</v>
      </c>
      <c r="DS126" s="60">
        <f t="shared" si="199"/>
        <v>59.173999999999999</v>
      </c>
      <c r="DT126" s="60">
        <f t="shared" si="199"/>
        <v>2.4420000000000002</v>
      </c>
      <c r="DU126" s="60">
        <f t="shared" si="200"/>
        <v>45.314</v>
      </c>
      <c r="DV126" s="60">
        <f t="shared" si="200"/>
        <v>-8.1379999999999999</v>
      </c>
      <c r="DW126" s="60"/>
      <c r="DX126" s="60"/>
      <c r="DY126" s="60">
        <f t="shared" si="214"/>
        <v>45.31</v>
      </c>
      <c r="DZ126" s="60">
        <v>0</v>
      </c>
      <c r="EA126" s="60"/>
      <c r="EB126" s="60"/>
      <c r="EC126" s="43">
        <f t="shared" si="201"/>
        <v>650.91000000000008</v>
      </c>
      <c r="ED126" s="43">
        <f t="shared" si="201"/>
        <v>35</v>
      </c>
      <c r="EE126" s="43">
        <v>644.76</v>
      </c>
      <c r="EF126" s="43">
        <v>25.05</v>
      </c>
      <c r="EG126" s="43">
        <f t="shared" si="245"/>
        <v>99.06</v>
      </c>
      <c r="EH126" s="43">
        <f t="shared" si="245"/>
        <v>71.569999999999993</v>
      </c>
      <c r="EI126" s="43">
        <f t="shared" si="202"/>
        <v>6.15</v>
      </c>
      <c r="EJ126" s="43">
        <f t="shared" si="202"/>
        <v>9.9499999999999993</v>
      </c>
      <c r="EK126" s="43">
        <f t="shared" si="203"/>
        <v>58.61</v>
      </c>
      <c r="EL126" s="43">
        <f t="shared" si="203"/>
        <v>2.2799999999999998</v>
      </c>
      <c r="EM126" s="43">
        <f t="shared" si="204"/>
        <v>52.46</v>
      </c>
      <c r="EN126" s="43">
        <f t="shared" si="204"/>
        <v>-7.67</v>
      </c>
      <c r="EO126" s="43">
        <v>52.5</v>
      </c>
      <c r="EP126" s="43">
        <v>30</v>
      </c>
      <c r="EQ126" s="5"/>
      <c r="ER126" s="5"/>
      <c r="ES126" s="5"/>
      <c r="ET126" s="5"/>
      <c r="EU126" s="5">
        <f t="shared" si="270"/>
        <v>172.58999999999992</v>
      </c>
      <c r="EV126" s="5">
        <f t="shared" si="270"/>
        <v>0</v>
      </c>
      <c r="EW126" s="5">
        <v>876</v>
      </c>
      <c r="EX126" s="5">
        <v>65</v>
      </c>
      <c r="EY126" s="5">
        <v>1050</v>
      </c>
      <c r="EZ126" s="5">
        <v>95</v>
      </c>
    </row>
    <row r="127" spans="1:162" ht="37.5" x14ac:dyDescent="0.25">
      <c r="A127" s="68">
        <v>28</v>
      </c>
      <c r="B127" s="68" t="s">
        <v>304</v>
      </c>
      <c r="C127" s="91" t="s">
        <v>102</v>
      </c>
      <c r="D127" s="67" t="s">
        <v>305</v>
      </c>
      <c r="E127" s="69" t="s">
        <v>306</v>
      </c>
      <c r="F127" s="40">
        <v>650.38</v>
      </c>
      <c r="G127" s="40">
        <v>25.85</v>
      </c>
      <c r="H127" s="40">
        <v>650.38</v>
      </c>
      <c r="I127" s="70">
        <v>15.810000000000002</v>
      </c>
      <c r="J127" s="71">
        <v>700</v>
      </c>
      <c r="K127" s="71">
        <v>0</v>
      </c>
      <c r="L127" s="71">
        <v>0.1</v>
      </c>
      <c r="M127" s="71">
        <f t="shared" ref="M127:M133" si="346">J127+K127+L127</f>
        <v>700.1</v>
      </c>
      <c r="N127" s="71">
        <v>0</v>
      </c>
      <c r="O127" s="71">
        <v>0</v>
      </c>
      <c r="P127" s="71">
        <v>0</v>
      </c>
      <c r="Q127" s="71">
        <f t="shared" ref="Q127:Q133" si="347">+N127+O127+P127</f>
        <v>0</v>
      </c>
      <c r="R127" s="71">
        <f t="shared" ref="R127:R133" si="348">+Q127+M127</f>
        <v>700.1</v>
      </c>
      <c r="S127" s="71">
        <v>31</v>
      </c>
      <c r="T127" s="92"/>
      <c r="U127" s="92"/>
      <c r="V127" s="70">
        <f t="shared" si="342"/>
        <v>688.3</v>
      </c>
      <c r="W127" s="70">
        <f t="shared" si="343"/>
        <v>16.329999999999998</v>
      </c>
      <c r="X127" s="70">
        <f t="shared" si="170"/>
        <v>11.800000000000068</v>
      </c>
      <c r="Y127" s="70">
        <f t="shared" si="170"/>
        <v>14.670000000000002</v>
      </c>
      <c r="Z127" s="70">
        <v>688.3</v>
      </c>
      <c r="AA127" s="70"/>
      <c r="AB127" s="70">
        <f t="shared" si="182"/>
        <v>688.3</v>
      </c>
      <c r="AC127" s="43">
        <f t="shared" si="183"/>
        <v>0</v>
      </c>
      <c r="AD127" s="70">
        <f t="shared" si="344"/>
        <v>688.3</v>
      </c>
      <c r="AE127" s="70">
        <f>IF(Y127&gt;0,W127,S127)+13.67</f>
        <v>30</v>
      </c>
      <c r="AF127" s="70">
        <f t="shared" si="184"/>
        <v>27.97</v>
      </c>
      <c r="AG127" s="43">
        <f t="shared" si="171"/>
        <v>172</v>
      </c>
      <c r="AH127" s="43">
        <f>ROUND(AE127/4,0)-4</f>
        <v>4</v>
      </c>
      <c r="AI127" s="93">
        <f t="shared" si="172"/>
        <v>57</v>
      </c>
      <c r="AJ127" s="43">
        <f>ROUND(AE127/12,0)-2</f>
        <v>1</v>
      </c>
      <c r="AK127" s="43"/>
      <c r="AL127" s="43">
        <v>26</v>
      </c>
      <c r="AM127" s="43">
        <f t="shared" si="185"/>
        <v>172.08</v>
      </c>
      <c r="AN127" s="43">
        <f>ROUND(AE127*24.35%,2)-7.31</f>
        <v>0</v>
      </c>
      <c r="AO127" s="43"/>
      <c r="AP127" s="43"/>
      <c r="AQ127" s="43">
        <f t="shared" si="173"/>
        <v>344.08000000000004</v>
      </c>
      <c r="AR127" s="43">
        <f t="shared" si="173"/>
        <v>30</v>
      </c>
      <c r="AS127" s="43"/>
      <c r="AT127" s="43"/>
      <c r="AU127" s="43">
        <f t="shared" si="260"/>
        <v>172.08</v>
      </c>
      <c r="AV127" s="43">
        <v>0</v>
      </c>
      <c r="AW127" s="43"/>
      <c r="AX127" s="43">
        <v>3.25</v>
      </c>
      <c r="AY127" s="43">
        <f t="shared" si="166"/>
        <v>573.16000000000008</v>
      </c>
      <c r="AZ127" s="43">
        <f t="shared" si="166"/>
        <v>34.25</v>
      </c>
      <c r="BA127" s="43">
        <f t="shared" si="167"/>
        <v>607.41000000000008</v>
      </c>
      <c r="BB127" s="60">
        <v>567.83000000000004</v>
      </c>
      <c r="BC127" s="60">
        <v>29.48</v>
      </c>
      <c r="BD127" s="60">
        <f t="shared" si="168"/>
        <v>5.3300000000000409</v>
      </c>
      <c r="BE127" s="60">
        <f t="shared" si="168"/>
        <v>4.7699999999999996</v>
      </c>
      <c r="BF127" s="60">
        <f t="shared" si="169"/>
        <v>113.57</v>
      </c>
      <c r="BG127" s="60">
        <f t="shared" si="169"/>
        <v>5.9</v>
      </c>
      <c r="BH127" s="43">
        <v>47.84</v>
      </c>
      <c r="BI127" s="43">
        <v>0</v>
      </c>
      <c r="BJ127" s="43">
        <v>5.16</v>
      </c>
      <c r="BK127" s="43"/>
      <c r="BL127" s="43">
        <f t="shared" si="180"/>
        <v>626.16000000000008</v>
      </c>
      <c r="BM127" s="43">
        <f t="shared" si="180"/>
        <v>34.25</v>
      </c>
      <c r="BN127" s="43">
        <f t="shared" si="187"/>
        <v>660.41000000000008</v>
      </c>
      <c r="BO127" s="43">
        <v>617.91</v>
      </c>
      <c r="BP127" s="93">
        <v>31.73</v>
      </c>
      <c r="BQ127" s="43">
        <f t="shared" si="188"/>
        <v>8.2500000000001137</v>
      </c>
      <c r="BR127" s="43">
        <f t="shared" si="188"/>
        <v>2.5199999999999996</v>
      </c>
      <c r="BS127" s="43">
        <f t="shared" si="189"/>
        <v>56.17</v>
      </c>
      <c r="BT127" s="43">
        <f t="shared" si="189"/>
        <v>2.88</v>
      </c>
      <c r="BU127" s="43">
        <v>50</v>
      </c>
      <c r="BV127" s="43">
        <v>0</v>
      </c>
      <c r="BW127" s="43"/>
      <c r="BX127" s="43"/>
      <c r="BY127" s="43"/>
      <c r="BZ127" s="43"/>
      <c r="CA127" s="43">
        <v>676.16000000000008</v>
      </c>
      <c r="CB127" s="43">
        <v>34.25</v>
      </c>
      <c r="CC127" s="92">
        <v>743.78</v>
      </c>
      <c r="CD127" s="92">
        <v>39.39</v>
      </c>
      <c r="CE127" s="92">
        <v>62</v>
      </c>
      <c r="CF127" s="92">
        <v>3</v>
      </c>
      <c r="CG127" s="92">
        <f t="shared" si="190"/>
        <v>169.04</v>
      </c>
      <c r="CH127" s="92">
        <f t="shared" si="190"/>
        <v>8.56</v>
      </c>
      <c r="CI127" s="43"/>
      <c r="CJ127" s="43"/>
      <c r="CK127" s="72">
        <f>248-40</f>
        <v>208</v>
      </c>
      <c r="CL127" s="72">
        <f>62-12-10</f>
        <v>40</v>
      </c>
      <c r="CM127" s="72"/>
      <c r="CN127" s="72">
        <v>60</v>
      </c>
      <c r="CO127" s="43">
        <v>690</v>
      </c>
      <c r="CP127" s="43">
        <v>120</v>
      </c>
      <c r="CQ127" s="43">
        <f t="shared" si="191"/>
        <v>832</v>
      </c>
      <c r="CR127" s="43">
        <f t="shared" si="191"/>
        <v>160</v>
      </c>
      <c r="CS127" s="43">
        <f t="shared" si="192"/>
        <v>690</v>
      </c>
      <c r="CT127" s="43">
        <f t="shared" si="192"/>
        <v>120</v>
      </c>
      <c r="CU127" s="43">
        <v>775</v>
      </c>
      <c r="CV127" s="43">
        <v>120</v>
      </c>
      <c r="CW127" s="43">
        <f t="shared" si="193"/>
        <v>193.75</v>
      </c>
      <c r="CX127" s="43">
        <f>ROUND(CV127*25%,2)-13-10-7</f>
        <v>0</v>
      </c>
      <c r="CY127" s="43">
        <v>15</v>
      </c>
      <c r="CZ127" s="43">
        <v>0</v>
      </c>
      <c r="DA127" s="43">
        <f t="shared" si="194"/>
        <v>478.75</v>
      </c>
      <c r="DB127" s="43">
        <f t="shared" si="194"/>
        <v>103</v>
      </c>
      <c r="DC127" s="43">
        <v>474.5</v>
      </c>
      <c r="DD127" s="43">
        <v>101.27</v>
      </c>
      <c r="DE127" s="43">
        <f t="shared" si="195"/>
        <v>4.25</v>
      </c>
      <c r="DF127" s="43">
        <f t="shared" si="195"/>
        <v>1.730000000000004</v>
      </c>
      <c r="DG127" s="43">
        <f t="shared" si="345"/>
        <v>193.75</v>
      </c>
      <c r="DH127" s="43">
        <f t="shared" si="345"/>
        <v>30</v>
      </c>
      <c r="DI127" s="43">
        <f t="shared" si="196"/>
        <v>189.5</v>
      </c>
      <c r="DJ127" s="43">
        <f>+DH127-DF127-10-1.27</f>
        <v>16.999999999999996</v>
      </c>
      <c r="DK127" s="43"/>
      <c r="DL127" s="43"/>
      <c r="DM127" s="43">
        <f t="shared" si="197"/>
        <v>668.25</v>
      </c>
      <c r="DN127" s="43">
        <f t="shared" si="197"/>
        <v>120</v>
      </c>
      <c r="DO127" s="94">
        <v>640.62</v>
      </c>
      <c r="DP127" s="95">
        <v>111.47</v>
      </c>
      <c r="DQ127" s="60">
        <f t="shared" si="198"/>
        <v>27.63</v>
      </c>
      <c r="DR127" s="60">
        <f t="shared" si="198"/>
        <v>8.5299999999999994</v>
      </c>
      <c r="DS127" s="60">
        <f t="shared" si="199"/>
        <v>64.061999999999998</v>
      </c>
      <c r="DT127" s="60">
        <f t="shared" si="199"/>
        <v>11.147</v>
      </c>
      <c r="DU127" s="60">
        <f t="shared" si="200"/>
        <v>36.432000000000002</v>
      </c>
      <c r="DV127" s="60">
        <f t="shared" si="200"/>
        <v>2.6170000000000009</v>
      </c>
      <c r="DW127" s="60"/>
      <c r="DX127" s="60">
        <v>6.7</v>
      </c>
      <c r="DY127" s="60">
        <v>40</v>
      </c>
      <c r="DZ127" s="60">
        <f>ROUND(DV127+DX127,2)-2.62</f>
        <v>6.7</v>
      </c>
      <c r="EA127" s="60"/>
      <c r="EB127" s="60"/>
      <c r="EC127" s="43">
        <f t="shared" si="201"/>
        <v>708.25</v>
      </c>
      <c r="ED127" s="43">
        <f t="shared" si="201"/>
        <v>126.7</v>
      </c>
      <c r="EE127" s="43">
        <v>699.34</v>
      </c>
      <c r="EF127" s="43">
        <v>126.46</v>
      </c>
      <c r="EG127" s="43">
        <f t="shared" si="245"/>
        <v>98.74</v>
      </c>
      <c r="EH127" s="43">
        <f t="shared" si="245"/>
        <v>99.81</v>
      </c>
      <c r="EI127" s="43">
        <f t="shared" si="202"/>
        <v>8.91</v>
      </c>
      <c r="EJ127" s="43">
        <f t="shared" si="202"/>
        <v>0.24</v>
      </c>
      <c r="EK127" s="43">
        <f t="shared" si="203"/>
        <v>63.58</v>
      </c>
      <c r="EL127" s="43">
        <f t="shared" si="203"/>
        <v>11.5</v>
      </c>
      <c r="EM127" s="43">
        <f t="shared" si="204"/>
        <v>54.67</v>
      </c>
      <c r="EN127" s="43">
        <f t="shared" si="204"/>
        <v>11.26</v>
      </c>
      <c r="EO127" s="43">
        <v>50.25</v>
      </c>
      <c r="EP127" s="43">
        <v>0.96</v>
      </c>
      <c r="EQ127" s="5"/>
      <c r="ER127" s="5"/>
      <c r="ES127" s="5"/>
      <c r="ET127" s="5"/>
      <c r="EU127" s="5">
        <f t="shared" si="270"/>
        <v>16.5</v>
      </c>
      <c r="EV127" s="5">
        <f t="shared" si="270"/>
        <v>-2.6600000000000028</v>
      </c>
      <c r="EW127" s="5">
        <f>775</f>
        <v>775</v>
      </c>
      <c r="EX127" s="5">
        <v>125</v>
      </c>
      <c r="EY127" s="5">
        <v>900</v>
      </c>
      <c r="EZ127" s="5">
        <v>40</v>
      </c>
    </row>
    <row r="128" spans="1:162" ht="18.75" x14ac:dyDescent="0.25">
      <c r="A128" s="68">
        <v>29</v>
      </c>
      <c r="B128" s="68" t="s">
        <v>307</v>
      </c>
      <c r="C128" s="91" t="s">
        <v>308</v>
      </c>
      <c r="D128" s="67" t="s">
        <v>309</v>
      </c>
      <c r="E128" s="69">
        <v>721000</v>
      </c>
      <c r="F128" s="40">
        <v>320.75</v>
      </c>
      <c r="G128" s="40">
        <v>0</v>
      </c>
      <c r="H128" s="40">
        <v>310.75</v>
      </c>
      <c r="I128" s="70">
        <v>0</v>
      </c>
      <c r="J128" s="71">
        <v>0</v>
      </c>
      <c r="K128" s="71">
        <v>0</v>
      </c>
      <c r="L128" s="71">
        <v>0</v>
      </c>
      <c r="M128" s="71">
        <f t="shared" si="346"/>
        <v>0</v>
      </c>
      <c r="N128" s="71">
        <v>350</v>
      </c>
      <c r="O128" s="71">
        <v>13</v>
      </c>
      <c r="P128" s="71">
        <v>0</v>
      </c>
      <c r="Q128" s="71">
        <f t="shared" si="347"/>
        <v>363</v>
      </c>
      <c r="R128" s="71">
        <f t="shared" si="348"/>
        <v>363</v>
      </c>
      <c r="S128" s="71">
        <v>0</v>
      </c>
      <c r="T128" s="92"/>
      <c r="U128" s="92"/>
      <c r="V128" s="70">
        <f t="shared" si="342"/>
        <v>328.87</v>
      </c>
      <c r="W128" s="70">
        <f t="shared" si="343"/>
        <v>0</v>
      </c>
      <c r="X128" s="70">
        <f t="shared" si="170"/>
        <v>34.129999999999995</v>
      </c>
      <c r="Y128" s="70">
        <f t="shared" si="170"/>
        <v>0</v>
      </c>
      <c r="Z128" s="70">
        <v>0</v>
      </c>
      <c r="AA128" s="70">
        <v>328.87</v>
      </c>
      <c r="AB128" s="70">
        <f t="shared" si="182"/>
        <v>328.87</v>
      </c>
      <c r="AC128" s="43">
        <f t="shared" si="183"/>
        <v>0</v>
      </c>
      <c r="AD128" s="70">
        <f t="shared" si="344"/>
        <v>328.87</v>
      </c>
      <c r="AE128" s="70">
        <f t="shared" si="344"/>
        <v>0</v>
      </c>
      <c r="AF128" s="70">
        <f t="shared" si="184"/>
        <v>0</v>
      </c>
      <c r="AG128" s="43">
        <f t="shared" si="171"/>
        <v>82</v>
      </c>
      <c r="AH128" s="43">
        <f t="shared" si="171"/>
        <v>0</v>
      </c>
      <c r="AI128" s="93">
        <f t="shared" si="172"/>
        <v>27</v>
      </c>
      <c r="AJ128" s="43">
        <f t="shared" si="172"/>
        <v>0</v>
      </c>
      <c r="AK128" s="43"/>
      <c r="AL128" s="43"/>
      <c r="AM128" s="43">
        <f t="shared" si="185"/>
        <v>82.22</v>
      </c>
      <c r="AN128" s="43">
        <f t="shared" si="186"/>
        <v>0</v>
      </c>
      <c r="AO128" s="43"/>
      <c r="AP128" s="43"/>
      <c r="AQ128" s="43">
        <f t="shared" si="173"/>
        <v>164.22</v>
      </c>
      <c r="AR128" s="43">
        <f t="shared" si="173"/>
        <v>0</v>
      </c>
      <c r="AS128" s="43"/>
      <c r="AT128" s="43"/>
      <c r="AU128" s="43">
        <f t="shared" si="260"/>
        <v>82.22</v>
      </c>
      <c r="AV128" s="43">
        <f>ROUND(AE128*25%,2)</f>
        <v>0</v>
      </c>
      <c r="AW128" s="43"/>
      <c r="AX128" s="43"/>
      <c r="AY128" s="43">
        <f t="shared" ref="AY128:AZ190" si="349">+AQ128+AS128+AU128+AW128+AI128</f>
        <v>273.44</v>
      </c>
      <c r="AZ128" s="43">
        <f t="shared" si="349"/>
        <v>0</v>
      </c>
      <c r="BA128" s="43">
        <f t="shared" si="167"/>
        <v>273.44</v>
      </c>
      <c r="BB128" s="60">
        <v>238.59</v>
      </c>
      <c r="BC128" s="60"/>
      <c r="BD128" s="60">
        <f t="shared" ref="BD128:BE190" si="350">AY128-BB128</f>
        <v>34.849999999999994</v>
      </c>
      <c r="BE128" s="60">
        <f t="shared" si="350"/>
        <v>0</v>
      </c>
      <c r="BF128" s="60">
        <f t="shared" ref="BF128:BG190" si="351">ROUND(BB128/10*2,2)</f>
        <v>47.72</v>
      </c>
      <c r="BG128" s="60">
        <f t="shared" si="351"/>
        <v>0</v>
      </c>
      <c r="BH128" s="43">
        <v>6.44</v>
      </c>
      <c r="BI128" s="43">
        <v>0</v>
      </c>
      <c r="BJ128" s="43"/>
      <c r="BK128" s="43"/>
      <c r="BL128" s="43">
        <f t="shared" si="180"/>
        <v>279.88</v>
      </c>
      <c r="BM128" s="43">
        <f t="shared" si="180"/>
        <v>0</v>
      </c>
      <c r="BN128" s="43">
        <f t="shared" si="187"/>
        <v>279.88</v>
      </c>
      <c r="BO128" s="43">
        <v>263.72000000000003</v>
      </c>
      <c r="BP128" s="93"/>
      <c r="BQ128" s="43">
        <f t="shared" si="188"/>
        <v>16.159999999999968</v>
      </c>
      <c r="BR128" s="43">
        <f t="shared" si="188"/>
        <v>0</v>
      </c>
      <c r="BS128" s="43">
        <f t="shared" si="189"/>
        <v>23.97</v>
      </c>
      <c r="BT128" s="43">
        <f t="shared" si="189"/>
        <v>0</v>
      </c>
      <c r="BU128" s="43">
        <v>7.81</v>
      </c>
      <c r="BV128" s="43">
        <f t="shared" si="338"/>
        <v>0</v>
      </c>
      <c r="BW128" s="43">
        <v>8.5</v>
      </c>
      <c r="BX128" s="43"/>
      <c r="BY128" s="43"/>
      <c r="BZ128" s="43"/>
      <c r="CA128" s="43">
        <v>296.19</v>
      </c>
      <c r="CB128" s="43">
        <v>0</v>
      </c>
      <c r="CC128" s="92">
        <v>325.81</v>
      </c>
      <c r="CD128" s="92">
        <v>0</v>
      </c>
      <c r="CE128" s="92">
        <v>27</v>
      </c>
      <c r="CF128" s="92">
        <v>0</v>
      </c>
      <c r="CG128" s="92">
        <f t="shared" si="190"/>
        <v>74.05</v>
      </c>
      <c r="CH128" s="92">
        <f t="shared" si="190"/>
        <v>0</v>
      </c>
      <c r="CI128" s="43"/>
      <c r="CJ128" s="43"/>
      <c r="CK128" s="43">
        <v>90</v>
      </c>
      <c r="CL128" s="43">
        <v>0</v>
      </c>
      <c r="CM128" s="43"/>
      <c r="CN128" s="43"/>
      <c r="CO128" s="43">
        <v>365</v>
      </c>
      <c r="CP128" s="43"/>
      <c r="CQ128" s="43">
        <f t="shared" si="191"/>
        <v>360</v>
      </c>
      <c r="CR128" s="43">
        <f t="shared" si="191"/>
        <v>0</v>
      </c>
      <c r="CS128" s="43">
        <f t="shared" si="192"/>
        <v>360</v>
      </c>
      <c r="CT128" s="43">
        <f t="shared" si="192"/>
        <v>0</v>
      </c>
      <c r="CU128" s="43">
        <f t="shared" si="192"/>
        <v>360</v>
      </c>
      <c r="CV128" s="43">
        <f t="shared" si="192"/>
        <v>0</v>
      </c>
      <c r="CW128" s="43">
        <f t="shared" si="193"/>
        <v>90</v>
      </c>
      <c r="CX128" s="43">
        <f t="shared" si="193"/>
        <v>0</v>
      </c>
      <c r="CY128" s="43"/>
      <c r="CZ128" s="43"/>
      <c r="DA128" s="43">
        <f t="shared" si="194"/>
        <v>207</v>
      </c>
      <c r="DB128" s="43">
        <f t="shared" si="194"/>
        <v>0</v>
      </c>
      <c r="DC128" s="43">
        <v>178.83</v>
      </c>
      <c r="DD128" s="43">
        <v>0</v>
      </c>
      <c r="DE128" s="43">
        <f t="shared" si="195"/>
        <v>28.169999999999987</v>
      </c>
      <c r="DF128" s="43">
        <f t="shared" si="195"/>
        <v>0</v>
      </c>
      <c r="DG128" s="43">
        <f t="shared" si="345"/>
        <v>73.33</v>
      </c>
      <c r="DH128" s="43">
        <f t="shared" si="345"/>
        <v>0</v>
      </c>
      <c r="DI128" s="43">
        <f t="shared" si="196"/>
        <v>45.160000000000011</v>
      </c>
      <c r="DJ128" s="43">
        <f>+DH128-DF128</f>
        <v>0</v>
      </c>
      <c r="DK128" s="43">
        <v>30</v>
      </c>
      <c r="DL128" s="43">
        <v>0</v>
      </c>
      <c r="DM128" s="43">
        <f t="shared" si="197"/>
        <v>282.16000000000003</v>
      </c>
      <c r="DN128" s="43">
        <f t="shared" si="197"/>
        <v>0</v>
      </c>
      <c r="DO128" s="115">
        <v>261.29000000000002</v>
      </c>
      <c r="DP128" s="114">
        <v>0</v>
      </c>
      <c r="DQ128" s="60">
        <f t="shared" si="198"/>
        <v>20.87</v>
      </c>
      <c r="DR128" s="60">
        <f t="shared" si="198"/>
        <v>0</v>
      </c>
      <c r="DS128" s="60">
        <f t="shared" si="199"/>
        <v>26.129000000000001</v>
      </c>
      <c r="DT128" s="60">
        <f t="shared" si="199"/>
        <v>0</v>
      </c>
      <c r="DU128" s="60">
        <f t="shared" si="200"/>
        <v>5.2590000000000003</v>
      </c>
      <c r="DV128" s="60">
        <f t="shared" si="200"/>
        <v>0</v>
      </c>
      <c r="DW128" s="60"/>
      <c r="DX128" s="60"/>
      <c r="DY128" s="60">
        <f t="shared" si="214"/>
        <v>5.26</v>
      </c>
      <c r="DZ128" s="60">
        <f t="shared" si="181"/>
        <v>0</v>
      </c>
      <c r="EA128" s="60">
        <v>9</v>
      </c>
      <c r="EB128" s="60"/>
      <c r="EC128" s="43">
        <f t="shared" si="201"/>
        <v>296.42</v>
      </c>
      <c r="ED128" s="43">
        <f t="shared" si="201"/>
        <v>0</v>
      </c>
      <c r="EE128" s="43">
        <v>291.23</v>
      </c>
      <c r="EF128" s="43">
        <v>0</v>
      </c>
      <c r="EG128" s="43">
        <f t="shared" si="245"/>
        <v>98.25</v>
      </c>
      <c r="EH128" s="43" t="e">
        <f t="shared" si="245"/>
        <v>#DIV/0!</v>
      </c>
      <c r="EI128" s="43">
        <f t="shared" si="202"/>
        <v>5.19</v>
      </c>
      <c r="EJ128" s="43">
        <f t="shared" si="202"/>
        <v>0</v>
      </c>
      <c r="EK128" s="43">
        <f t="shared" si="203"/>
        <v>26.48</v>
      </c>
      <c r="EL128" s="43">
        <f t="shared" si="203"/>
        <v>0</v>
      </c>
      <c r="EM128" s="43">
        <f t="shared" si="204"/>
        <v>21.29</v>
      </c>
      <c r="EN128" s="43">
        <f t="shared" si="204"/>
        <v>0</v>
      </c>
      <c r="EO128" s="43">
        <v>41</v>
      </c>
      <c r="EP128" s="43">
        <v>0</v>
      </c>
      <c r="EQ128" s="5"/>
      <c r="ER128" s="5"/>
      <c r="ES128" s="5"/>
      <c r="ET128" s="5"/>
      <c r="EU128" s="5">
        <f t="shared" si="270"/>
        <v>-44.090000000000032</v>
      </c>
      <c r="EV128" s="5">
        <f t="shared" si="270"/>
        <v>0</v>
      </c>
      <c r="EW128" s="5">
        <v>293.33</v>
      </c>
      <c r="EY128" s="5">
        <v>375</v>
      </c>
    </row>
    <row r="129" spans="1:163" ht="18.75" x14ac:dyDescent="0.25">
      <c r="A129" s="68">
        <v>30</v>
      </c>
      <c r="B129" s="68" t="s">
        <v>310</v>
      </c>
      <c r="C129" s="91" t="s">
        <v>183</v>
      </c>
      <c r="D129" s="67" t="s">
        <v>311</v>
      </c>
      <c r="E129" s="69" t="s">
        <v>276</v>
      </c>
      <c r="F129" s="40">
        <v>581</v>
      </c>
      <c r="G129" s="40">
        <v>49.92</v>
      </c>
      <c r="H129" s="40">
        <v>581</v>
      </c>
      <c r="I129" s="70">
        <v>49.92</v>
      </c>
      <c r="J129" s="71">
        <v>650</v>
      </c>
      <c r="K129" s="71">
        <v>0</v>
      </c>
      <c r="L129" s="71">
        <v>0</v>
      </c>
      <c r="M129" s="71">
        <f t="shared" si="346"/>
        <v>650</v>
      </c>
      <c r="N129" s="71">
        <v>0</v>
      </c>
      <c r="O129" s="71">
        <v>0</v>
      </c>
      <c r="P129" s="71">
        <v>0</v>
      </c>
      <c r="Q129" s="71">
        <f t="shared" si="347"/>
        <v>0</v>
      </c>
      <c r="R129" s="71">
        <f t="shared" si="348"/>
        <v>650</v>
      </c>
      <c r="S129" s="71">
        <v>0</v>
      </c>
      <c r="T129" s="92"/>
      <c r="U129" s="92"/>
      <c r="V129" s="70">
        <f t="shared" si="342"/>
        <v>614.87</v>
      </c>
      <c r="W129" s="70">
        <f t="shared" si="343"/>
        <v>51.55</v>
      </c>
      <c r="X129" s="70">
        <f t="shared" ref="X129:Y192" si="352">R129-V129</f>
        <v>35.129999999999995</v>
      </c>
      <c r="Y129" s="70">
        <f t="shared" si="352"/>
        <v>-51.55</v>
      </c>
      <c r="Z129" s="70">
        <v>614.87</v>
      </c>
      <c r="AA129" s="70"/>
      <c r="AB129" s="70">
        <f t="shared" si="182"/>
        <v>614.87</v>
      </c>
      <c r="AC129" s="43">
        <f t="shared" si="183"/>
        <v>0</v>
      </c>
      <c r="AD129" s="70">
        <f t="shared" si="344"/>
        <v>614.87</v>
      </c>
      <c r="AE129" s="70">
        <f t="shared" si="344"/>
        <v>0</v>
      </c>
      <c r="AF129" s="70">
        <f t="shared" si="184"/>
        <v>0</v>
      </c>
      <c r="AG129" s="43">
        <f t="shared" ref="AG129:AH192" si="353">ROUND(AD129/4,0)</f>
        <v>154</v>
      </c>
      <c r="AH129" s="43">
        <f t="shared" si="353"/>
        <v>0</v>
      </c>
      <c r="AI129" s="93">
        <f t="shared" ref="AI129:AJ192" si="354">ROUND(AD129/12,0)</f>
        <v>51</v>
      </c>
      <c r="AJ129" s="43">
        <f t="shared" si="354"/>
        <v>0</v>
      </c>
      <c r="AK129" s="43"/>
      <c r="AL129" s="43"/>
      <c r="AM129" s="43">
        <f t="shared" si="185"/>
        <v>153.72</v>
      </c>
      <c r="AN129" s="43">
        <f t="shared" si="186"/>
        <v>0</v>
      </c>
      <c r="AO129" s="43"/>
      <c r="AP129" s="43"/>
      <c r="AQ129" s="43">
        <f t="shared" ref="AQ129:AR192" si="355">+AM129+AK129+AG129+AO129</f>
        <v>307.72000000000003</v>
      </c>
      <c r="AR129" s="43">
        <f t="shared" si="355"/>
        <v>0</v>
      </c>
      <c r="AS129" s="43"/>
      <c r="AT129" s="43"/>
      <c r="AU129" s="43">
        <f t="shared" si="260"/>
        <v>153.72</v>
      </c>
      <c r="AV129" s="43">
        <f t="shared" si="260"/>
        <v>0</v>
      </c>
      <c r="AW129" s="43"/>
      <c r="AX129" s="43"/>
      <c r="AY129" s="43">
        <f t="shared" si="349"/>
        <v>512.44000000000005</v>
      </c>
      <c r="AZ129" s="43">
        <f t="shared" si="349"/>
        <v>0</v>
      </c>
      <c r="BA129" s="43">
        <f t="shared" si="167"/>
        <v>512.44000000000005</v>
      </c>
      <c r="BB129" s="60">
        <v>506.37</v>
      </c>
      <c r="BC129" s="60"/>
      <c r="BD129" s="60">
        <f t="shared" si="350"/>
        <v>6.07000000000005</v>
      </c>
      <c r="BE129" s="60">
        <f t="shared" si="350"/>
        <v>0</v>
      </c>
      <c r="BF129" s="60">
        <f t="shared" si="351"/>
        <v>101.27</v>
      </c>
      <c r="BG129" s="60">
        <f t="shared" si="351"/>
        <v>0</v>
      </c>
      <c r="BH129" s="43">
        <v>63.78</v>
      </c>
      <c r="BI129" s="43">
        <v>0</v>
      </c>
      <c r="BJ129" s="43"/>
      <c r="BK129" s="43"/>
      <c r="BL129" s="43">
        <f t="shared" si="180"/>
        <v>576.22</v>
      </c>
      <c r="BM129" s="43">
        <f t="shared" si="180"/>
        <v>0</v>
      </c>
      <c r="BN129" s="43">
        <f t="shared" si="187"/>
        <v>576.22</v>
      </c>
      <c r="BO129" s="43">
        <v>565</v>
      </c>
      <c r="BP129" s="93"/>
      <c r="BQ129" s="43">
        <f t="shared" si="188"/>
        <v>11.220000000000027</v>
      </c>
      <c r="BR129" s="43">
        <f t="shared" si="188"/>
        <v>0</v>
      </c>
      <c r="BS129" s="43">
        <f t="shared" si="189"/>
        <v>51.36</v>
      </c>
      <c r="BT129" s="43">
        <f t="shared" si="189"/>
        <v>0</v>
      </c>
      <c r="BU129" s="43">
        <f>45+18.78</f>
        <v>63.78</v>
      </c>
      <c r="BV129" s="43">
        <v>1.58</v>
      </c>
      <c r="BW129" s="43"/>
      <c r="BX129" s="43"/>
      <c r="BY129" s="43"/>
      <c r="BZ129" s="43"/>
      <c r="CA129" s="43">
        <v>640</v>
      </c>
      <c r="CB129" s="43">
        <v>1.58</v>
      </c>
      <c r="CC129" s="92">
        <v>704</v>
      </c>
      <c r="CD129" s="92">
        <v>1.82</v>
      </c>
      <c r="CE129" s="92">
        <v>59</v>
      </c>
      <c r="CF129" s="92">
        <v>0</v>
      </c>
      <c r="CG129" s="92">
        <f t="shared" si="190"/>
        <v>160</v>
      </c>
      <c r="CH129" s="92">
        <f t="shared" si="190"/>
        <v>0.4</v>
      </c>
      <c r="CI129" s="43"/>
      <c r="CJ129" s="43"/>
      <c r="CK129" s="43">
        <v>190</v>
      </c>
      <c r="CL129" s="43">
        <v>0</v>
      </c>
      <c r="CM129" s="43"/>
      <c r="CN129" s="43"/>
      <c r="CO129" s="43">
        <v>720</v>
      </c>
      <c r="CP129" s="43"/>
      <c r="CQ129" s="43">
        <f t="shared" si="191"/>
        <v>760</v>
      </c>
      <c r="CR129" s="43">
        <f t="shared" si="191"/>
        <v>0</v>
      </c>
      <c r="CS129" s="43">
        <f t="shared" si="192"/>
        <v>720</v>
      </c>
      <c r="CT129" s="43">
        <f t="shared" si="192"/>
        <v>0</v>
      </c>
      <c r="CU129" s="43">
        <f t="shared" si="192"/>
        <v>720</v>
      </c>
      <c r="CV129" s="43">
        <f t="shared" si="192"/>
        <v>0</v>
      </c>
      <c r="CW129" s="43">
        <f t="shared" si="193"/>
        <v>180</v>
      </c>
      <c r="CX129" s="43">
        <f t="shared" si="193"/>
        <v>0</v>
      </c>
      <c r="CY129" s="43"/>
      <c r="CZ129" s="43"/>
      <c r="DA129" s="43">
        <f t="shared" si="194"/>
        <v>429</v>
      </c>
      <c r="DB129" s="43">
        <f t="shared" si="194"/>
        <v>0</v>
      </c>
      <c r="DC129" s="43">
        <v>413.24</v>
      </c>
      <c r="DD129" s="43">
        <v>0</v>
      </c>
      <c r="DE129" s="43">
        <f t="shared" si="195"/>
        <v>15.759999999999991</v>
      </c>
      <c r="DF129" s="43">
        <f t="shared" si="195"/>
        <v>0</v>
      </c>
      <c r="DG129" s="43">
        <f t="shared" si="345"/>
        <v>180</v>
      </c>
      <c r="DH129" s="43">
        <f t="shared" si="345"/>
        <v>0</v>
      </c>
      <c r="DI129" s="43">
        <f t="shared" si="196"/>
        <v>164.24</v>
      </c>
      <c r="DJ129" s="43">
        <f>+DH129-DF129</f>
        <v>0</v>
      </c>
      <c r="DK129" s="43">
        <v>30</v>
      </c>
      <c r="DL129" s="43"/>
      <c r="DM129" s="43">
        <f t="shared" si="197"/>
        <v>623.24</v>
      </c>
      <c r="DN129" s="43">
        <f t="shared" si="197"/>
        <v>0</v>
      </c>
      <c r="DO129" s="63">
        <v>605.5</v>
      </c>
      <c r="DP129" s="114">
        <v>0</v>
      </c>
      <c r="DQ129" s="60">
        <f t="shared" si="198"/>
        <v>17.739999999999998</v>
      </c>
      <c r="DR129" s="60">
        <f t="shared" si="198"/>
        <v>0</v>
      </c>
      <c r="DS129" s="60">
        <f t="shared" si="199"/>
        <v>60.55</v>
      </c>
      <c r="DT129" s="60">
        <f t="shared" si="199"/>
        <v>0</v>
      </c>
      <c r="DU129" s="60">
        <f t="shared" si="200"/>
        <v>42.81</v>
      </c>
      <c r="DV129" s="60">
        <f t="shared" si="200"/>
        <v>0</v>
      </c>
      <c r="DW129" s="60"/>
      <c r="DX129" s="60"/>
      <c r="DY129" s="60">
        <f t="shared" si="214"/>
        <v>42.81</v>
      </c>
      <c r="DZ129" s="60">
        <f t="shared" si="181"/>
        <v>0</v>
      </c>
      <c r="EA129" s="60"/>
      <c r="EB129" s="60"/>
      <c r="EC129" s="43">
        <f t="shared" si="201"/>
        <v>666.05</v>
      </c>
      <c r="ED129" s="43">
        <f t="shared" si="201"/>
        <v>0</v>
      </c>
      <c r="EE129" s="43">
        <v>665.93</v>
      </c>
      <c r="EF129" s="43">
        <v>0</v>
      </c>
      <c r="EG129" s="43">
        <f t="shared" si="245"/>
        <v>99.98</v>
      </c>
      <c r="EH129" s="43" t="e">
        <f t="shared" si="245"/>
        <v>#DIV/0!</v>
      </c>
      <c r="EI129" s="43">
        <f t="shared" si="202"/>
        <v>0.12</v>
      </c>
      <c r="EJ129" s="43">
        <f t="shared" si="202"/>
        <v>0</v>
      </c>
      <c r="EK129" s="43">
        <f t="shared" si="203"/>
        <v>60.54</v>
      </c>
      <c r="EL129" s="43">
        <f t="shared" si="203"/>
        <v>0</v>
      </c>
      <c r="EM129" s="43">
        <f t="shared" si="204"/>
        <v>60.42</v>
      </c>
      <c r="EN129" s="43">
        <f t="shared" si="204"/>
        <v>0</v>
      </c>
      <c r="EO129" s="43">
        <v>72</v>
      </c>
      <c r="EP129" s="43">
        <v>0</v>
      </c>
      <c r="EQ129" s="5"/>
      <c r="ER129" s="5"/>
      <c r="ES129" s="5"/>
      <c r="ET129" s="5"/>
      <c r="EU129" s="5">
        <f t="shared" si="270"/>
        <v>17.950000000000045</v>
      </c>
      <c r="EV129" s="5">
        <f t="shared" si="270"/>
        <v>0</v>
      </c>
      <c r="EW129" s="5">
        <v>756</v>
      </c>
      <c r="EX129" s="5">
        <v>0</v>
      </c>
      <c r="EY129" s="5">
        <v>900</v>
      </c>
      <c r="EZ129" s="5">
        <v>20</v>
      </c>
    </row>
    <row r="130" spans="1:163" ht="18.75" x14ac:dyDescent="0.25">
      <c r="A130" s="68">
        <v>31</v>
      </c>
      <c r="B130" s="68" t="s">
        <v>312</v>
      </c>
      <c r="C130" s="91" t="s">
        <v>313</v>
      </c>
      <c r="D130" s="67" t="s">
        <v>314</v>
      </c>
      <c r="E130" s="69" t="s">
        <v>315</v>
      </c>
      <c r="F130" s="40">
        <v>321.82</v>
      </c>
      <c r="G130" s="40">
        <v>0</v>
      </c>
      <c r="H130" s="40">
        <v>321.82</v>
      </c>
      <c r="I130" s="70">
        <v>0</v>
      </c>
      <c r="J130" s="71">
        <v>300</v>
      </c>
      <c r="K130" s="71">
        <v>0</v>
      </c>
      <c r="L130" s="71">
        <v>0</v>
      </c>
      <c r="M130" s="71">
        <f t="shared" si="346"/>
        <v>300</v>
      </c>
      <c r="N130" s="71">
        <v>0</v>
      </c>
      <c r="O130" s="71">
        <v>0</v>
      </c>
      <c r="P130" s="71">
        <v>0</v>
      </c>
      <c r="Q130" s="71">
        <f t="shared" si="347"/>
        <v>0</v>
      </c>
      <c r="R130" s="71">
        <f t="shared" si="348"/>
        <v>300</v>
      </c>
      <c r="S130" s="71">
        <v>0</v>
      </c>
      <c r="T130" s="92"/>
      <c r="U130" s="92"/>
      <c r="V130" s="70">
        <f t="shared" si="342"/>
        <v>340.58</v>
      </c>
      <c r="W130" s="70">
        <f t="shared" si="343"/>
        <v>0</v>
      </c>
      <c r="X130" s="70">
        <f t="shared" si="352"/>
        <v>-40.579999999999984</v>
      </c>
      <c r="Y130" s="70">
        <f t="shared" si="352"/>
        <v>0</v>
      </c>
      <c r="Z130" s="70">
        <v>300</v>
      </c>
      <c r="AA130" s="70"/>
      <c r="AB130" s="70">
        <f t="shared" si="182"/>
        <v>300</v>
      </c>
      <c r="AC130" s="43">
        <f t="shared" si="183"/>
        <v>0</v>
      </c>
      <c r="AD130" s="70">
        <f t="shared" si="344"/>
        <v>300</v>
      </c>
      <c r="AE130" s="70">
        <f t="shared" si="344"/>
        <v>0</v>
      </c>
      <c r="AF130" s="70">
        <f t="shared" si="184"/>
        <v>0</v>
      </c>
      <c r="AG130" s="43">
        <f t="shared" si="353"/>
        <v>75</v>
      </c>
      <c r="AH130" s="43">
        <f t="shared" si="353"/>
        <v>0</v>
      </c>
      <c r="AI130" s="93">
        <f t="shared" si="354"/>
        <v>25</v>
      </c>
      <c r="AJ130" s="43">
        <f t="shared" si="354"/>
        <v>0</v>
      </c>
      <c r="AK130" s="43"/>
      <c r="AL130" s="43"/>
      <c r="AM130" s="43">
        <f t="shared" si="185"/>
        <v>75</v>
      </c>
      <c r="AN130" s="43">
        <f t="shared" si="186"/>
        <v>0</v>
      </c>
      <c r="AO130" s="43"/>
      <c r="AP130" s="43"/>
      <c r="AQ130" s="43">
        <f t="shared" si="355"/>
        <v>150</v>
      </c>
      <c r="AR130" s="43">
        <f t="shared" si="355"/>
        <v>0</v>
      </c>
      <c r="AS130" s="43"/>
      <c r="AT130" s="43"/>
      <c r="AU130" s="43">
        <f t="shared" si="260"/>
        <v>75</v>
      </c>
      <c r="AV130" s="43">
        <f t="shared" si="260"/>
        <v>0</v>
      </c>
      <c r="AW130" s="43"/>
      <c r="AX130" s="43"/>
      <c r="AY130" s="43">
        <f t="shared" si="349"/>
        <v>250</v>
      </c>
      <c r="AZ130" s="43">
        <f t="shared" si="349"/>
        <v>0</v>
      </c>
      <c r="BA130" s="43">
        <f t="shared" ref="BA130:BA190" si="356">+AY130+AZ130</f>
        <v>250</v>
      </c>
      <c r="BB130" s="60">
        <v>223.24</v>
      </c>
      <c r="BC130" s="60"/>
      <c r="BD130" s="60">
        <f t="shared" si="350"/>
        <v>26.759999999999991</v>
      </c>
      <c r="BE130" s="60">
        <f t="shared" si="350"/>
        <v>0</v>
      </c>
      <c r="BF130" s="60">
        <f t="shared" si="351"/>
        <v>44.65</v>
      </c>
      <c r="BG130" s="60">
        <f t="shared" si="351"/>
        <v>0</v>
      </c>
      <c r="BH130" s="43">
        <v>8.9499999999999993</v>
      </c>
      <c r="BI130" s="43">
        <v>0</v>
      </c>
      <c r="BJ130" s="43"/>
      <c r="BK130" s="43"/>
      <c r="BL130" s="43">
        <f t="shared" si="180"/>
        <v>258.95</v>
      </c>
      <c r="BM130" s="43">
        <f t="shared" si="180"/>
        <v>0</v>
      </c>
      <c r="BN130" s="43">
        <f t="shared" si="187"/>
        <v>258.95</v>
      </c>
      <c r="BO130" s="43">
        <v>240.88</v>
      </c>
      <c r="BP130" s="93"/>
      <c r="BQ130" s="43">
        <f t="shared" si="188"/>
        <v>18.069999999999993</v>
      </c>
      <c r="BR130" s="43">
        <f t="shared" si="188"/>
        <v>0</v>
      </c>
      <c r="BS130" s="43">
        <f t="shared" si="189"/>
        <v>21.9</v>
      </c>
      <c r="BT130" s="43">
        <f t="shared" si="189"/>
        <v>0</v>
      </c>
      <c r="BU130" s="43">
        <v>3.83</v>
      </c>
      <c r="BV130" s="43">
        <f>ROUND(BT130-BR130,2)</f>
        <v>0</v>
      </c>
      <c r="BW130" s="43"/>
      <c r="BX130" s="43"/>
      <c r="BY130" s="43"/>
      <c r="BZ130" s="43"/>
      <c r="CA130" s="43">
        <v>262.77999999999997</v>
      </c>
      <c r="CB130" s="43">
        <v>0</v>
      </c>
      <c r="CC130" s="92">
        <v>289.06</v>
      </c>
      <c r="CD130" s="92">
        <v>0</v>
      </c>
      <c r="CE130" s="92">
        <v>24</v>
      </c>
      <c r="CF130" s="92">
        <v>0</v>
      </c>
      <c r="CG130" s="92">
        <f t="shared" si="190"/>
        <v>65.7</v>
      </c>
      <c r="CH130" s="92">
        <f t="shared" si="190"/>
        <v>0</v>
      </c>
      <c r="CI130" s="43"/>
      <c r="CJ130" s="43"/>
      <c r="CK130" s="43">
        <v>72</v>
      </c>
      <c r="CL130" s="43">
        <v>0</v>
      </c>
      <c r="CM130" s="43"/>
      <c r="CN130" s="43"/>
      <c r="CO130" s="43">
        <v>300</v>
      </c>
      <c r="CP130" s="43"/>
      <c r="CQ130" s="43">
        <f t="shared" si="191"/>
        <v>288</v>
      </c>
      <c r="CR130" s="43">
        <f t="shared" si="191"/>
        <v>0</v>
      </c>
      <c r="CS130" s="43">
        <f t="shared" si="192"/>
        <v>288</v>
      </c>
      <c r="CT130" s="43">
        <f t="shared" si="192"/>
        <v>0</v>
      </c>
      <c r="CU130" s="43">
        <v>288</v>
      </c>
      <c r="CV130" s="43">
        <v>65.92</v>
      </c>
      <c r="CW130" s="43">
        <f t="shared" si="193"/>
        <v>72</v>
      </c>
      <c r="CX130" s="43">
        <v>3.01</v>
      </c>
      <c r="CY130" s="43"/>
      <c r="CZ130" s="43"/>
      <c r="DA130" s="43">
        <f t="shared" si="194"/>
        <v>168</v>
      </c>
      <c r="DB130" s="43">
        <f t="shared" si="194"/>
        <v>3.01</v>
      </c>
      <c r="DC130" s="43">
        <v>138.4</v>
      </c>
      <c r="DD130" s="43">
        <v>0</v>
      </c>
      <c r="DE130" s="43">
        <f t="shared" si="195"/>
        <v>29.599999999999994</v>
      </c>
      <c r="DF130" s="43">
        <f t="shared" si="195"/>
        <v>3.01</v>
      </c>
      <c r="DG130" s="43">
        <f t="shared" si="345"/>
        <v>71.8</v>
      </c>
      <c r="DH130" s="43">
        <f t="shared" si="345"/>
        <v>16.48</v>
      </c>
      <c r="DI130" s="43">
        <f t="shared" si="196"/>
        <v>42.2</v>
      </c>
      <c r="DJ130" s="43">
        <v>0</v>
      </c>
      <c r="DK130" s="43">
        <v>29.31</v>
      </c>
      <c r="DL130" s="43">
        <v>62.91</v>
      </c>
      <c r="DM130" s="43">
        <f t="shared" si="197"/>
        <v>239.51</v>
      </c>
      <c r="DN130" s="43">
        <f t="shared" si="197"/>
        <v>65.92</v>
      </c>
      <c r="DO130" s="94">
        <v>191.74</v>
      </c>
      <c r="DP130" s="99">
        <v>88.44</v>
      </c>
      <c r="DQ130" s="60">
        <f t="shared" si="198"/>
        <v>47.77</v>
      </c>
      <c r="DR130" s="60">
        <f t="shared" si="198"/>
        <v>-22.52</v>
      </c>
      <c r="DS130" s="60">
        <f t="shared" si="199"/>
        <v>19.173999999999999</v>
      </c>
      <c r="DT130" s="60">
        <f t="shared" si="199"/>
        <v>8.8439999999999994</v>
      </c>
      <c r="DU130" s="60">
        <f t="shared" si="200"/>
        <v>-28.596000000000004</v>
      </c>
      <c r="DV130" s="60">
        <f t="shared" si="200"/>
        <v>31.363999999999997</v>
      </c>
      <c r="DW130" s="60"/>
      <c r="DX130" s="60"/>
      <c r="DY130" s="60">
        <v>0</v>
      </c>
      <c r="DZ130" s="60">
        <f>ROUND(DV130+DX130,2)-2.28</f>
        <v>29.08</v>
      </c>
      <c r="EA130" s="60"/>
      <c r="EB130" s="60"/>
      <c r="EC130" s="43">
        <f t="shared" si="201"/>
        <v>239.51</v>
      </c>
      <c r="ED130" s="43">
        <f t="shared" si="201"/>
        <v>95</v>
      </c>
      <c r="EE130" s="43">
        <v>208.71</v>
      </c>
      <c r="EF130" s="43">
        <v>0</v>
      </c>
      <c r="EG130" s="43">
        <f t="shared" si="245"/>
        <v>87.14</v>
      </c>
      <c r="EH130" s="43">
        <f t="shared" si="245"/>
        <v>0</v>
      </c>
      <c r="EI130" s="43">
        <f t="shared" si="202"/>
        <v>30.8</v>
      </c>
      <c r="EJ130" s="43">
        <f t="shared" si="202"/>
        <v>95</v>
      </c>
      <c r="EK130" s="43">
        <f t="shared" si="203"/>
        <v>18.97</v>
      </c>
      <c r="EL130" s="43">
        <f t="shared" si="203"/>
        <v>0</v>
      </c>
      <c r="EM130" s="43">
        <f t="shared" si="204"/>
        <v>-11.830000000000002</v>
      </c>
      <c r="EN130" s="43">
        <f t="shared" si="204"/>
        <v>-95</v>
      </c>
      <c r="EO130" s="43">
        <v>0</v>
      </c>
      <c r="EP130" s="43">
        <v>0</v>
      </c>
      <c r="EQ130" s="5"/>
      <c r="ER130" s="5"/>
      <c r="ES130" s="5"/>
      <c r="ET130" s="5"/>
      <c r="EU130" s="5">
        <f t="shared" si="270"/>
        <v>47.690000000000055</v>
      </c>
      <c r="EV130" s="5">
        <f t="shared" si="270"/>
        <v>0</v>
      </c>
      <c r="EW130" s="5">
        <v>287.20000000000005</v>
      </c>
      <c r="EX130" s="5">
        <v>95</v>
      </c>
      <c r="EY130" s="5">
        <v>0</v>
      </c>
      <c r="EZ130" s="5">
        <v>0</v>
      </c>
    </row>
    <row r="131" spans="1:163" ht="37.5" x14ac:dyDescent="0.25">
      <c r="A131" s="68">
        <v>32</v>
      </c>
      <c r="B131" s="68" t="s">
        <v>316</v>
      </c>
      <c r="C131" s="91" t="s">
        <v>102</v>
      </c>
      <c r="D131" s="67" t="s">
        <v>317</v>
      </c>
      <c r="E131" s="69" t="s">
        <v>318</v>
      </c>
      <c r="F131" s="40">
        <v>340.61</v>
      </c>
      <c r="G131" s="40">
        <v>36.32</v>
      </c>
      <c r="H131" s="40">
        <v>340.61</v>
      </c>
      <c r="I131" s="70">
        <v>36.32</v>
      </c>
      <c r="J131" s="71">
        <v>416.11</v>
      </c>
      <c r="K131" s="71">
        <v>0</v>
      </c>
      <c r="L131" s="71">
        <v>0</v>
      </c>
      <c r="M131" s="71">
        <f t="shared" si="346"/>
        <v>416.11</v>
      </c>
      <c r="N131" s="71">
        <v>0</v>
      </c>
      <c r="O131" s="71">
        <v>0</v>
      </c>
      <c r="P131" s="71">
        <v>0</v>
      </c>
      <c r="Q131" s="71">
        <f t="shared" si="347"/>
        <v>0</v>
      </c>
      <c r="R131" s="71">
        <f t="shared" si="348"/>
        <v>416.11</v>
      </c>
      <c r="S131" s="71">
        <v>36.450000000000003</v>
      </c>
      <c r="T131" s="92"/>
      <c r="U131" s="92"/>
      <c r="V131" s="70">
        <f t="shared" si="342"/>
        <v>360.47</v>
      </c>
      <c r="W131" s="70">
        <f t="shared" si="343"/>
        <v>37.51</v>
      </c>
      <c r="X131" s="70">
        <f t="shared" si="352"/>
        <v>55.639999999999986</v>
      </c>
      <c r="Y131" s="70">
        <f t="shared" si="352"/>
        <v>-1.0599999999999952</v>
      </c>
      <c r="Z131" s="70">
        <v>360.47</v>
      </c>
      <c r="AA131" s="70"/>
      <c r="AB131" s="70">
        <f t="shared" si="182"/>
        <v>360.47</v>
      </c>
      <c r="AC131" s="43">
        <f t="shared" si="183"/>
        <v>0</v>
      </c>
      <c r="AD131" s="70">
        <f t="shared" si="344"/>
        <v>360.47</v>
      </c>
      <c r="AE131" s="70">
        <f t="shared" si="344"/>
        <v>36.450000000000003</v>
      </c>
      <c r="AF131" s="70">
        <f t="shared" si="184"/>
        <v>32.89</v>
      </c>
      <c r="AG131" s="43">
        <f t="shared" si="353"/>
        <v>90</v>
      </c>
      <c r="AH131" s="43">
        <f t="shared" si="353"/>
        <v>9</v>
      </c>
      <c r="AI131" s="93">
        <f t="shared" si="354"/>
        <v>30</v>
      </c>
      <c r="AJ131" s="43">
        <f t="shared" si="354"/>
        <v>3</v>
      </c>
      <c r="AK131" s="43">
        <v>9</v>
      </c>
      <c r="AL131" s="43"/>
      <c r="AM131" s="43">
        <f t="shared" si="185"/>
        <v>90.12</v>
      </c>
      <c r="AN131" s="43">
        <f t="shared" si="186"/>
        <v>8.8800000000000008</v>
      </c>
      <c r="AO131" s="43"/>
      <c r="AP131" s="43"/>
      <c r="AQ131" s="43">
        <f t="shared" si="355"/>
        <v>189.12</v>
      </c>
      <c r="AR131" s="43">
        <f t="shared" si="355"/>
        <v>17.880000000000003</v>
      </c>
      <c r="AS131" s="43">
        <v>20.14</v>
      </c>
      <c r="AT131" s="43"/>
      <c r="AU131" s="43">
        <f t="shared" si="260"/>
        <v>90.12</v>
      </c>
      <c r="AV131" s="43">
        <v>0</v>
      </c>
      <c r="AW131" s="43">
        <v>44.66</v>
      </c>
      <c r="AX131" s="43"/>
      <c r="AY131" s="43">
        <f t="shared" si="349"/>
        <v>374.03999999999996</v>
      </c>
      <c r="AZ131" s="43">
        <f t="shared" si="349"/>
        <v>20.880000000000003</v>
      </c>
      <c r="BA131" s="43">
        <f t="shared" si="356"/>
        <v>394.91999999999996</v>
      </c>
      <c r="BB131" s="60">
        <v>371.17</v>
      </c>
      <c r="BC131" s="60"/>
      <c r="BD131" s="60">
        <f t="shared" si="350"/>
        <v>2.8699999999999477</v>
      </c>
      <c r="BE131" s="60">
        <f t="shared" si="350"/>
        <v>20.880000000000003</v>
      </c>
      <c r="BF131" s="60">
        <f t="shared" si="351"/>
        <v>74.23</v>
      </c>
      <c r="BG131" s="60">
        <f t="shared" si="351"/>
        <v>0</v>
      </c>
      <c r="BH131" s="43">
        <v>35.68</v>
      </c>
      <c r="BI131" s="43">
        <v>0</v>
      </c>
      <c r="BJ131" s="43">
        <v>7</v>
      </c>
      <c r="BK131" s="43"/>
      <c r="BL131" s="43">
        <f t="shared" si="180"/>
        <v>416.71999999999997</v>
      </c>
      <c r="BM131" s="43">
        <f t="shared" si="180"/>
        <v>20.880000000000003</v>
      </c>
      <c r="BN131" s="43">
        <f t="shared" si="187"/>
        <v>437.59999999999997</v>
      </c>
      <c r="BO131" s="43">
        <v>411.23</v>
      </c>
      <c r="BP131" s="93"/>
      <c r="BQ131" s="43">
        <f t="shared" si="188"/>
        <v>5.4899999999999523</v>
      </c>
      <c r="BR131" s="43">
        <f t="shared" si="188"/>
        <v>20.880000000000003</v>
      </c>
      <c r="BS131" s="43">
        <f t="shared" si="189"/>
        <v>37.380000000000003</v>
      </c>
      <c r="BT131" s="43">
        <f t="shared" si="189"/>
        <v>0</v>
      </c>
      <c r="BU131" s="43">
        <v>31.89</v>
      </c>
      <c r="BV131" s="43">
        <v>0</v>
      </c>
      <c r="BW131" s="43">
        <v>10</v>
      </c>
      <c r="BX131" s="43"/>
      <c r="BY131" s="43">
        <v>20.88</v>
      </c>
      <c r="BZ131" s="43"/>
      <c r="CA131" s="43">
        <v>458.60999999999996</v>
      </c>
      <c r="CB131" s="43">
        <v>0</v>
      </c>
      <c r="CC131" s="92">
        <v>504.47</v>
      </c>
      <c r="CD131" s="92">
        <v>0</v>
      </c>
      <c r="CE131" s="92">
        <v>42</v>
      </c>
      <c r="CF131" s="92">
        <v>0</v>
      </c>
      <c r="CG131" s="92">
        <f t="shared" si="190"/>
        <v>114.65</v>
      </c>
      <c r="CH131" s="92">
        <f t="shared" si="190"/>
        <v>0</v>
      </c>
      <c r="CI131" s="43"/>
      <c r="CJ131" s="43"/>
      <c r="CK131" s="43">
        <v>136</v>
      </c>
      <c r="CL131" s="43">
        <v>0</v>
      </c>
      <c r="CM131" s="43"/>
      <c r="CN131" s="43"/>
      <c r="CO131" s="43">
        <v>500</v>
      </c>
      <c r="CP131" s="43"/>
      <c r="CQ131" s="43">
        <f t="shared" si="191"/>
        <v>544</v>
      </c>
      <c r="CR131" s="43">
        <f t="shared" si="191"/>
        <v>0</v>
      </c>
      <c r="CS131" s="43">
        <f t="shared" si="192"/>
        <v>500</v>
      </c>
      <c r="CT131" s="43">
        <f t="shared" si="192"/>
        <v>0</v>
      </c>
      <c r="CU131" s="43">
        <v>500</v>
      </c>
      <c r="CV131" s="43">
        <v>0</v>
      </c>
      <c r="CW131" s="43">
        <f t="shared" si="193"/>
        <v>125</v>
      </c>
      <c r="CX131" s="43">
        <f t="shared" si="193"/>
        <v>0</v>
      </c>
      <c r="CY131" s="43"/>
      <c r="CZ131" s="43"/>
      <c r="DA131" s="43">
        <f t="shared" si="194"/>
        <v>303</v>
      </c>
      <c r="DB131" s="43">
        <f t="shared" si="194"/>
        <v>0</v>
      </c>
      <c r="DC131" s="43">
        <v>302.08</v>
      </c>
      <c r="DD131" s="43">
        <v>0</v>
      </c>
      <c r="DE131" s="43">
        <f t="shared" si="195"/>
        <v>0.92000000000001592</v>
      </c>
      <c r="DF131" s="43">
        <f t="shared" si="195"/>
        <v>0</v>
      </c>
      <c r="DG131" s="43">
        <f t="shared" si="345"/>
        <v>125</v>
      </c>
      <c r="DH131" s="43">
        <f t="shared" si="345"/>
        <v>0</v>
      </c>
      <c r="DI131" s="43">
        <f t="shared" si="196"/>
        <v>124.07999999999998</v>
      </c>
      <c r="DJ131" s="43">
        <f>+DH131-DF131</f>
        <v>0</v>
      </c>
      <c r="DK131" s="43">
        <v>43.5</v>
      </c>
      <c r="DL131" s="43"/>
      <c r="DM131" s="43">
        <f t="shared" si="197"/>
        <v>470.58</v>
      </c>
      <c r="DN131" s="43">
        <f t="shared" si="197"/>
        <v>0</v>
      </c>
      <c r="DO131" s="94">
        <v>446.65</v>
      </c>
      <c r="DP131" s="95">
        <v>0</v>
      </c>
      <c r="DQ131" s="60">
        <f t="shared" si="198"/>
        <v>23.93</v>
      </c>
      <c r="DR131" s="60">
        <f t="shared" si="198"/>
        <v>0</v>
      </c>
      <c r="DS131" s="60">
        <f t="shared" si="199"/>
        <v>44.664999999999999</v>
      </c>
      <c r="DT131" s="60">
        <f t="shared" si="199"/>
        <v>0</v>
      </c>
      <c r="DU131" s="60">
        <f t="shared" si="200"/>
        <v>20.734999999999999</v>
      </c>
      <c r="DV131" s="60">
        <f t="shared" si="200"/>
        <v>0</v>
      </c>
      <c r="DW131" s="60"/>
      <c r="DX131" s="60"/>
      <c r="DY131" s="60">
        <f t="shared" si="214"/>
        <v>20.74</v>
      </c>
      <c r="DZ131" s="60">
        <f t="shared" si="181"/>
        <v>0</v>
      </c>
      <c r="EA131" s="60"/>
      <c r="EB131" s="60"/>
      <c r="EC131" s="43">
        <f t="shared" si="201"/>
        <v>491.32</v>
      </c>
      <c r="ED131" s="43">
        <f t="shared" si="201"/>
        <v>0</v>
      </c>
      <c r="EE131" s="43">
        <v>487.87</v>
      </c>
      <c r="EF131" s="43">
        <v>0</v>
      </c>
      <c r="EG131" s="43">
        <f t="shared" si="245"/>
        <v>99.3</v>
      </c>
      <c r="EH131" s="43" t="e">
        <f t="shared" si="245"/>
        <v>#DIV/0!</v>
      </c>
      <c r="EI131" s="43">
        <f t="shared" si="202"/>
        <v>3.45</v>
      </c>
      <c r="EJ131" s="43">
        <f t="shared" si="202"/>
        <v>0</v>
      </c>
      <c r="EK131" s="43">
        <f t="shared" si="203"/>
        <v>44.35</v>
      </c>
      <c r="EL131" s="43">
        <f t="shared" si="203"/>
        <v>0</v>
      </c>
      <c r="EM131" s="43">
        <f t="shared" si="204"/>
        <v>40.9</v>
      </c>
      <c r="EN131" s="43">
        <f t="shared" si="204"/>
        <v>0</v>
      </c>
      <c r="EO131" s="43">
        <v>41.2</v>
      </c>
      <c r="EP131" s="43">
        <v>0</v>
      </c>
      <c r="EQ131" s="5"/>
      <c r="ER131" s="5"/>
      <c r="ES131" s="5"/>
      <c r="ET131" s="5"/>
      <c r="EU131" s="5">
        <f t="shared" si="270"/>
        <v>129.21000000000004</v>
      </c>
      <c r="EV131" s="5">
        <f t="shared" si="270"/>
        <v>0</v>
      </c>
      <c r="EW131" s="5">
        <v>661.73</v>
      </c>
      <c r="EX131" s="5">
        <v>0</v>
      </c>
      <c r="EY131" s="5">
        <v>630</v>
      </c>
      <c r="EZ131" s="5">
        <v>0</v>
      </c>
    </row>
    <row r="132" spans="1:163" ht="18.75" x14ac:dyDescent="0.25">
      <c r="A132" s="37">
        <v>33</v>
      </c>
      <c r="B132" s="37"/>
      <c r="C132" s="91" t="s">
        <v>102</v>
      </c>
      <c r="D132" s="38" t="s">
        <v>319</v>
      </c>
      <c r="E132" s="39"/>
      <c r="F132" s="40">
        <v>355.52000000000004</v>
      </c>
      <c r="G132" s="40">
        <v>0</v>
      </c>
      <c r="H132" s="40">
        <v>355.52000000000004</v>
      </c>
      <c r="I132" s="40">
        <v>0</v>
      </c>
      <c r="J132" s="41">
        <v>480</v>
      </c>
      <c r="K132" s="41">
        <v>0</v>
      </c>
      <c r="L132" s="41">
        <v>0</v>
      </c>
      <c r="M132" s="41">
        <f t="shared" si="346"/>
        <v>480</v>
      </c>
      <c r="N132" s="41">
        <v>0</v>
      </c>
      <c r="O132" s="41">
        <v>0</v>
      </c>
      <c r="P132" s="41">
        <v>0</v>
      </c>
      <c r="Q132" s="41">
        <f t="shared" si="347"/>
        <v>0</v>
      </c>
      <c r="R132" s="41">
        <f t="shared" si="348"/>
        <v>480</v>
      </c>
      <c r="S132" s="41">
        <v>0</v>
      </c>
      <c r="T132" s="92"/>
      <c r="U132" s="92"/>
      <c r="V132" s="40">
        <f t="shared" si="342"/>
        <v>376.25</v>
      </c>
      <c r="W132" s="40">
        <f t="shared" si="343"/>
        <v>0</v>
      </c>
      <c r="X132" s="43">
        <f t="shared" si="352"/>
        <v>103.75</v>
      </c>
      <c r="Y132" s="43">
        <f t="shared" si="352"/>
        <v>0</v>
      </c>
      <c r="Z132" s="43">
        <v>376.25</v>
      </c>
      <c r="AA132" s="43"/>
      <c r="AB132" s="43">
        <f t="shared" si="182"/>
        <v>376.25</v>
      </c>
      <c r="AC132" s="43">
        <f t="shared" si="183"/>
        <v>0</v>
      </c>
      <c r="AD132" s="43">
        <f t="shared" si="344"/>
        <v>376.25</v>
      </c>
      <c r="AE132" s="43">
        <f t="shared" si="344"/>
        <v>0</v>
      </c>
      <c r="AF132" s="43">
        <f t="shared" si="184"/>
        <v>0</v>
      </c>
      <c r="AG132" s="43">
        <f t="shared" si="353"/>
        <v>94</v>
      </c>
      <c r="AH132" s="43">
        <f t="shared" si="353"/>
        <v>0</v>
      </c>
      <c r="AI132" s="93">
        <f t="shared" si="354"/>
        <v>31</v>
      </c>
      <c r="AJ132" s="43">
        <f t="shared" si="354"/>
        <v>0</v>
      </c>
      <c r="AK132" s="43"/>
      <c r="AL132" s="43"/>
      <c r="AM132" s="43">
        <f t="shared" si="185"/>
        <v>94.06</v>
      </c>
      <c r="AN132" s="43">
        <f t="shared" si="186"/>
        <v>0</v>
      </c>
      <c r="AO132" s="43"/>
      <c r="AP132" s="43"/>
      <c r="AQ132" s="43">
        <f t="shared" si="355"/>
        <v>188.06</v>
      </c>
      <c r="AR132" s="43">
        <f t="shared" si="355"/>
        <v>0</v>
      </c>
      <c r="AS132" s="43"/>
      <c r="AT132" s="43"/>
      <c r="AU132" s="43">
        <f t="shared" si="260"/>
        <v>94.06</v>
      </c>
      <c r="AV132" s="43">
        <f>ROUND(AE132*25%,2)</f>
        <v>0</v>
      </c>
      <c r="AW132" s="43">
        <v>80</v>
      </c>
      <c r="AX132" s="43"/>
      <c r="AY132" s="43">
        <f t="shared" si="349"/>
        <v>393.12</v>
      </c>
      <c r="AZ132" s="43">
        <f t="shared" si="349"/>
        <v>0</v>
      </c>
      <c r="BA132" s="43">
        <f t="shared" si="356"/>
        <v>393.12</v>
      </c>
      <c r="BB132" s="60">
        <v>390.88</v>
      </c>
      <c r="BC132" s="60"/>
      <c r="BD132" s="60">
        <f t="shared" si="350"/>
        <v>2.2400000000000091</v>
      </c>
      <c r="BE132" s="60">
        <f t="shared" si="350"/>
        <v>0</v>
      </c>
      <c r="BF132" s="60">
        <f t="shared" si="351"/>
        <v>78.180000000000007</v>
      </c>
      <c r="BG132" s="60">
        <f t="shared" si="351"/>
        <v>0</v>
      </c>
      <c r="BH132" s="43">
        <v>37.97</v>
      </c>
      <c r="BI132" s="43">
        <v>0</v>
      </c>
      <c r="BJ132" s="43"/>
      <c r="BK132" s="43"/>
      <c r="BL132" s="43">
        <f t="shared" si="180"/>
        <v>431.09000000000003</v>
      </c>
      <c r="BM132" s="43">
        <f t="shared" si="180"/>
        <v>0</v>
      </c>
      <c r="BN132" s="43">
        <f t="shared" si="187"/>
        <v>431.09000000000003</v>
      </c>
      <c r="BO132" s="43">
        <v>437.1</v>
      </c>
      <c r="BP132" s="93"/>
      <c r="BQ132" s="43">
        <f t="shared" si="188"/>
        <v>-6.0099999999999909</v>
      </c>
      <c r="BR132" s="43">
        <f t="shared" si="188"/>
        <v>0</v>
      </c>
      <c r="BS132" s="43">
        <f t="shared" si="189"/>
        <v>39.74</v>
      </c>
      <c r="BT132" s="43">
        <f t="shared" si="189"/>
        <v>0</v>
      </c>
      <c r="BU132" s="43">
        <v>58.5</v>
      </c>
      <c r="BV132" s="43">
        <f t="shared" ref="BV132:BV133" si="357">ROUND(BT132-BR132,2)</f>
        <v>0</v>
      </c>
      <c r="BW132" s="43"/>
      <c r="BX132" s="43"/>
      <c r="BY132" s="43"/>
      <c r="BZ132" s="43"/>
      <c r="CA132" s="43">
        <v>489.59000000000003</v>
      </c>
      <c r="CB132" s="43">
        <v>0</v>
      </c>
      <c r="CC132" s="92">
        <v>538.54999999999995</v>
      </c>
      <c r="CD132" s="92">
        <v>0</v>
      </c>
      <c r="CE132" s="92">
        <v>45</v>
      </c>
      <c r="CF132" s="92">
        <v>0</v>
      </c>
      <c r="CG132" s="92">
        <f t="shared" si="190"/>
        <v>122.4</v>
      </c>
      <c r="CH132" s="92">
        <f t="shared" si="190"/>
        <v>0</v>
      </c>
      <c r="CI132" s="43"/>
      <c r="CJ132" s="43"/>
      <c r="CK132" s="43">
        <v>150</v>
      </c>
      <c r="CL132" s="43">
        <v>38.54</v>
      </c>
      <c r="CM132" s="43"/>
      <c r="CN132" s="43"/>
      <c r="CO132" s="43">
        <v>550</v>
      </c>
      <c r="CP132" s="43">
        <v>38.54</v>
      </c>
      <c r="CQ132" s="43">
        <f t="shared" si="191"/>
        <v>600</v>
      </c>
      <c r="CR132" s="43">
        <f t="shared" si="191"/>
        <v>154.16</v>
      </c>
      <c r="CS132" s="43">
        <f t="shared" si="192"/>
        <v>550</v>
      </c>
      <c r="CT132" s="43">
        <f t="shared" si="192"/>
        <v>38.54</v>
      </c>
      <c r="CU132" s="43">
        <v>550</v>
      </c>
      <c r="CV132" s="43">
        <v>38.54</v>
      </c>
      <c r="CW132" s="43">
        <f t="shared" si="193"/>
        <v>137.5</v>
      </c>
      <c r="CX132" s="43">
        <f>ROUND(CV132*25%,2)-9.64</f>
        <v>0</v>
      </c>
      <c r="CY132" s="43"/>
      <c r="CZ132" s="43"/>
      <c r="DA132" s="43">
        <f t="shared" si="194"/>
        <v>332.5</v>
      </c>
      <c r="DB132" s="43">
        <f t="shared" si="194"/>
        <v>38.54</v>
      </c>
      <c r="DC132" s="43">
        <v>332.06</v>
      </c>
      <c r="DD132" s="43">
        <v>38.54</v>
      </c>
      <c r="DE132" s="43">
        <f t="shared" si="195"/>
        <v>0.43999999999999773</v>
      </c>
      <c r="DF132" s="43">
        <f t="shared" si="195"/>
        <v>0</v>
      </c>
      <c r="DG132" s="43">
        <f t="shared" si="345"/>
        <v>137.5</v>
      </c>
      <c r="DH132" s="43">
        <f t="shared" si="345"/>
        <v>9.64</v>
      </c>
      <c r="DI132" s="43">
        <f t="shared" si="196"/>
        <v>137.06</v>
      </c>
      <c r="DJ132" s="43">
        <f>+DH132-DF132-9.64</f>
        <v>0</v>
      </c>
      <c r="DK132" s="43">
        <v>22</v>
      </c>
      <c r="DL132" s="43"/>
      <c r="DM132" s="43">
        <f t="shared" si="197"/>
        <v>491.56</v>
      </c>
      <c r="DN132" s="43">
        <f t="shared" si="197"/>
        <v>38.54</v>
      </c>
      <c r="DO132" s="94">
        <v>477.87</v>
      </c>
      <c r="DP132" s="94">
        <v>38.54</v>
      </c>
      <c r="DQ132" s="60">
        <f t="shared" si="198"/>
        <v>13.69</v>
      </c>
      <c r="DR132" s="60">
        <f t="shared" si="198"/>
        <v>0</v>
      </c>
      <c r="DS132" s="60">
        <f t="shared" si="199"/>
        <v>47.786999999999999</v>
      </c>
      <c r="DT132" s="60">
        <f t="shared" si="199"/>
        <v>3.8540000000000001</v>
      </c>
      <c r="DU132" s="60">
        <f t="shared" si="200"/>
        <v>34.097000000000001</v>
      </c>
      <c r="DV132" s="60">
        <f t="shared" si="200"/>
        <v>3.8540000000000001</v>
      </c>
      <c r="DW132" s="60">
        <v>0.44</v>
      </c>
      <c r="DX132" s="60"/>
      <c r="DY132" s="60">
        <f t="shared" si="214"/>
        <v>34.54</v>
      </c>
      <c r="DZ132" s="60">
        <f>ROUND(DV132+DX132,2)-3.85</f>
        <v>0</v>
      </c>
      <c r="EA132" s="60">
        <v>0</v>
      </c>
      <c r="EB132" s="60">
        <v>1</v>
      </c>
      <c r="EC132" s="43">
        <f t="shared" si="201"/>
        <v>526.1</v>
      </c>
      <c r="ED132" s="43">
        <f t="shared" si="201"/>
        <v>39.54</v>
      </c>
      <c r="EE132" s="43">
        <v>524.05999999999995</v>
      </c>
      <c r="EF132" s="43">
        <v>38.54</v>
      </c>
      <c r="EG132" s="43">
        <f t="shared" si="245"/>
        <v>99.61</v>
      </c>
      <c r="EH132" s="43">
        <f t="shared" si="245"/>
        <v>97.47</v>
      </c>
      <c r="EI132" s="43">
        <f t="shared" si="202"/>
        <v>2.04</v>
      </c>
      <c r="EJ132" s="43">
        <f t="shared" si="202"/>
        <v>1</v>
      </c>
      <c r="EK132" s="43">
        <f t="shared" si="203"/>
        <v>47.64</v>
      </c>
      <c r="EL132" s="43">
        <f t="shared" si="203"/>
        <v>3.5</v>
      </c>
      <c r="EM132" s="43">
        <f t="shared" si="204"/>
        <v>45.6</v>
      </c>
      <c r="EN132" s="43">
        <f t="shared" si="204"/>
        <v>2.5</v>
      </c>
      <c r="EO132" s="43">
        <v>45.15</v>
      </c>
      <c r="EP132" s="43">
        <v>0</v>
      </c>
      <c r="EQ132" s="5"/>
      <c r="ER132" s="5"/>
      <c r="ES132" s="5"/>
      <c r="ET132" s="5"/>
      <c r="EU132" s="5">
        <f t="shared" si="270"/>
        <v>-1.2500000000000213</v>
      </c>
      <c r="EV132" s="5">
        <f t="shared" si="270"/>
        <v>-1</v>
      </c>
      <c r="EW132" s="5">
        <v>570</v>
      </c>
      <c r="EX132" s="5">
        <v>38.54</v>
      </c>
      <c r="EY132" s="5">
        <v>600</v>
      </c>
      <c r="EZ132" s="5">
        <v>100</v>
      </c>
    </row>
    <row r="133" spans="1:163" ht="37.5" x14ac:dyDescent="0.25">
      <c r="A133" s="37">
        <v>34</v>
      </c>
      <c r="B133" s="37"/>
      <c r="C133" s="91" t="s">
        <v>102</v>
      </c>
      <c r="D133" s="38" t="s">
        <v>320</v>
      </c>
      <c r="E133" s="39"/>
      <c r="F133" s="40">
        <v>601.11</v>
      </c>
      <c r="G133" s="40">
        <v>0</v>
      </c>
      <c r="H133" s="40">
        <v>601.11</v>
      </c>
      <c r="I133" s="40">
        <v>0</v>
      </c>
      <c r="J133" s="41">
        <v>630</v>
      </c>
      <c r="K133" s="41">
        <v>0</v>
      </c>
      <c r="L133" s="41">
        <v>0</v>
      </c>
      <c r="M133" s="41">
        <f t="shared" si="346"/>
        <v>630</v>
      </c>
      <c r="N133" s="41">
        <v>0</v>
      </c>
      <c r="O133" s="41">
        <v>0</v>
      </c>
      <c r="P133" s="41">
        <v>0</v>
      </c>
      <c r="Q133" s="41">
        <f t="shared" si="347"/>
        <v>0</v>
      </c>
      <c r="R133" s="41">
        <f t="shared" si="348"/>
        <v>630</v>
      </c>
      <c r="S133" s="41">
        <v>0</v>
      </c>
      <c r="T133" s="92"/>
      <c r="U133" s="92"/>
      <c r="V133" s="40">
        <f t="shared" si="342"/>
        <v>636.15</v>
      </c>
      <c r="W133" s="40">
        <f t="shared" si="343"/>
        <v>0</v>
      </c>
      <c r="X133" s="43">
        <f t="shared" si="352"/>
        <v>-6.1499999999999773</v>
      </c>
      <c r="Y133" s="43">
        <f t="shared" si="352"/>
        <v>0</v>
      </c>
      <c r="Z133" s="43">
        <v>630</v>
      </c>
      <c r="AA133" s="43"/>
      <c r="AB133" s="43">
        <f t="shared" si="182"/>
        <v>630</v>
      </c>
      <c r="AC133" s="43">
        <f t="shared" si="183"/>
        <v>0</v>
      </c>
      <c r="AD133" s="43">
        <f t="shared" si="344"/>
        <v>630</v>
      </c>
      <c r="AE133" s="43">
        <f t="shared" si="344"/>
        <v>0</v>
      </c>
      <c r="AF133" s="43">
        <f t="shared" si="184"/>
        <v>0</v>
      </c>
      <c r="AG133" s="43">
        <f t="shared" si="353"/>
        <v>158</v>
      </c>
      <c r="AH133" s="43">
        <f t="shared" si="353"/>
        <v>0</v>
      </c>
      <c r="AI133" s="93">
        <f t="shared" si="354"/>
        <v>53</v>
      </c>
      <c r="AJ133" s="43">
        <f t="shared" si="354"/>
        <v>0</v>
      </c>
      <c r="AK133" s="43"/>
      <c r="AL133" s="43"/>
      <c r="AM133" s="43">
        <f t="shared" si="185"/>
        <v>157.5</v>
      </c>
      <c r="AN133" s="43">
        <f t="shared" si="186"/>
        <v>0</v>
      </c>
      <c r="AO133" s="43"/>
      <c r="AP133" s="43"/>
      <c r="AQ133" s="43">
        <f t="shared" si="355"/>
        <v>315.5</v>
      </c>
      <c r="AR133" s="43">
        <f t="shared" si="355"/>
        <v>0</v>
      </c>
      <c r="AS133" s="43"/>
      <c r="AT133" s="43"/>
      <c r="AU133" s="43">
        <f t="shared" si="260"/>
        <v>157.5</v>
      </c>
      <c r="AV133" s="43">
        <f t="shared" si="260"/>
        <v>0</v>
      </c>
      <c r="AW133" s="43"/>
      <c r="AX133" s="43"/>
      <c r="AY133" s="43">
        <f t="shared" si="349"/>
        <v>526</v>
      </c>
      <c r="AZ133" s="43">
        <f t="shared" si="349"/>
        <v>0</v>
      </c>
      <c r="BA133" s="43">
        <f t="shared" si="356"/>
        <v>526</v>
      </c>
      <c r="BB133" s="60">
        <v>424</v>
      </c>
      <c r="BC133" s="60"/>
      <c r="BD133" s="60">
        <f t="shared" si="350"/>
        <v>102</v>
      </c>
      <c r="BE133" s="60">
        <f t="shared" si="350"/>
        <v>0</v>
      </c>
      <c r="BF133" s="60">
        <f t="shared" si="351"/>
        <v>84.8</v>
      </c>
      <c r="BG133" s="60">
        <f t="shared" si="351"/>
        <v>0</v>
      </c>
      <c r="BH133" s="43">
        <v>0</v>
      </c>
      <c r="BI133" s="43">
        <v>0</v>
      </c>
      <c r="BJ133" s="43"/>
      <c r="BK133" s="43"/>
      <c r="BL133" s="43">
        <f t="shared" ref="BL133:BM196" si="358">+BH133+AY133+BJ133</f>
        <v>526</v>
      </c>
      <c r="BM133" s="43">
        <f t="shared" si="358"/>
        <v>0</v>
      </c>
      <c r="BN133" s="43">
        <f t="shared" si="187"/>
        <v>526</v>
      </c>
      <c r="BO133" s="43">
        <v>424</v>
      </c>
      <c r="BP133" s="93"/>
      <c r="BQ133" s="43">
        <f t="shared" si="188"/>
        <v>102</v>
      </c>
      <c r="BR133" s="43">
        <f t="shared" si="188"/>
        <v>0</v>
      </c>
      <c r="BS133" s="43">
        <f t="shared" si="189"/>
        <v>38.549999999999997</v>
      </c>
      <c r="BT133" s="43">
        <f t="shared" si="189"/>
        <v>0</v>
      </c>
      <c r="BU133" s="43">
        <v>6</v>
      </c>
      <c r="BV133" s="43">
        <f t="shared" si="357"/>
        <v>0</v>
      </c>
      <c r="BW133" s="43"/>
      <c r="BX133" s="43"/>
      <c r="BY133" s="43"/>
      <c r="BZ133" s="43"/>
      <c r="CA133" s="43">
        <v>532</v>
      </c>
      <c r="CB133" s="43">
        <v>0</v>
      </c>
      <c r="CC133" s="92">
        <v>585.20000000000005</v>
      </c>
      <c r="CD133" s="92">
        <v>0</v>
      </c>
      <c r="CE133" s="92">
        <v>49</v>
      </c>
      <c r="CF133" s="92">
        <v>0</v>
      </c>
      <c r="CG133" s="92">
        <f t="shared" si="190"/>
        <v>133</v>
      </c>
      <c r="CH133" s="92">
        <f t="shared" si="190"/>
        <v>0</v>
      </c>
      <c r="CI133" s="43"/>
      <c r="CJ133" s="43"/>
      <c r="CK133" s="43">
        <f>180-40</f>
        <v>140</v>
      </c>
      <c r="CL133" s="43">
        <v>0</v>
      </c>
      <c r="CM133" s="43"/>
      <c r="CN133" s="43"/>
      <c r="CO133" s="43">
        <v>610</v>
      </c>
      <c r="CP133" s="43"/>
      <c r="CQ133" s="43">
        <f t="shared" si="191"/>
        <v>560</v>
      </c>
      <c r="CR133" s="43">
        <f t="shared" si="191"/>
        <v>0</v>
      </c>
      <c r="CS133" s="43">
        <f t="shared" si="192"/>
        <v>560</v>
      </c>
      <c r="CT133" s="43">
        <f t="shared" si="192"/>
        <v>0</v>
      </c>
      <c r="CU133" s="43">
        <v>560</v>
      </c>
      <c r="CV133" s="43">
        <v>0</v>
      </c>
      <c r="CW133" s="43">
        <f t="shared" si="193"/>
        <v>140</v>
      </c>
      <c r="CX133" s="43">
        <f t="shared" si="193"/>
        <v>0</v>
      </c>
      <c r="CY133" s="43"/>
      <c r="CZ133" s="43"/>
      <c r="DA133" s="43">
        <f t="shared" si="194"/>
        <v>329</v>
      </c>
      <c r="DB133" s="43">
        <f t="shared" si="194"/>
        <v>0</v>
      </c>
      <c r="DC133" s="43">
        <v>329</v>
      </c>
      <c r="DD133" s="43">
        <v>0</v>
      </c>
      <c r="DE133" s="43">
        <f t="shared" si="195"/>
        <v>0</v>
      </c>
      <c r="DF133" s="43">
        <f t="shared" si="195"/>
        <v>0</v>
      </c>
      <c r="DG133" s="43">
        <f t="shared" si="345"/>
        <v>140</v>
      </c>
      <c r="DH133" s="43">
        <f t="shared" si="345"/>
        <v>0</v>
      </c>
      <c r="DI133" s="43">
        <f t="shared" si="196"/>
        <v>140</v>
      </c>
      <c r="DJ133" s="43">
        <f>+DH133-DF133</f>
        <v>0</v>
      </c>
      <c r="DK133" s="43"/>
      <c r="DL133" s="43"/>
      <c r="DM133" s="43">
        <f t="shared" si="197"/>
        <v>469</v>
      </c>
      <c r="DN133" s="43">
        <f t="shared" si="197"/>
        <v>0</v>
      </c>
      <c r="DO133" s="94">
        <v>469</v>
      </c>
      <c r="DP133" s="94">
        <v>0</v>
      </c>
      <c r="DQ133" s="60">
        <f t="shared" si="198"/>
        <v>0</v>
      </c>
      <c r="DR133" s="60">
        <f t="shared" si="198"/>
        <v>0</v>
      </c>
      <c r="DS133" s="60">
        <f t="shared" si="199"/>
        <v>46.9</v>
      </c>
      <c r="DT133" s="60">
        <f t="shared" si="199"/>
        <v>0</v>
      </c>
      <c r="DU133" s="60">
        <f t="shared" si="200"/>
        <v>46.9</v>
      </c>
      <c r="DV133" s="60">
        <f t="shared" si="200"/>
        <v>0</v>
      </c>
      <c r="DW133" s="60"/>
      <c r="DX133" s="60"/>
      <c r="DY133" s="60">
        <f t="shared" si="214"/>
        <v>46.9</v>
      </c>
      <c r="DZ133" s="60">
        <f t="shared" si="214"/>
        <v>0</v>
      </c>
      <c r="EA133" s="60"/>
      <c r="EB133" s="60"/>
      <c r="EC133" s="43">
        <f t="shared" si="201"/>
        <v>515.9</v>
      </c>
      <c r="ED133" s="43">
        <f t="shared" si="201"/>
        <v>0</v>
      </c>
      <c r="EE133" s="43">
        <v>469</v>
      </c>
      <c r="EF133" s="43">
        <v>0</v>
      </c>
      <c r="EG133" s="43">
        <f t="shared" si="245"/>
        <v>90.91</v>
      </c>
      <c r="EH133" s="43" t="e">
        <f t="shared" si="245"/>
        <v>#DIV/0!</v>
      </c>
      <c r="EI133" s="43">
        <f t="shared" si="202"/>
        <v>46.9</v>
      </c>
      <c r="EJ133" s="43">
        <f t="shared" si="202"/>
        <v>0</v>
      </c>
      <c r="EK133" s="43">
        <f t="shared" si="203"/>
        <v>42.64</v>
      </c>
      <c r="EL133" s="43">
        <f t="shared" si="203"/>
        <v>0</v>
      </c>
      <c r="EM133" s="43">
        <f t="shared" si="204"/>
        <v>-4.259999999999998</v>
      </c>
      <c r="EN133" s="43">
        <f t="shared" si="204"/>
        <v>0</v>
      </c>
      <c r="EO133" s="43">
        <v>50</v>
      </c>
      <c r="EP133" s="43">
        <v>0</v>
      </c>
      <c r="EQ133" s="5"/>
      <c r="ER133" s="5"/>
      <c r="ES133" s="5"/>
      <c r="ET133" s="5"/>
      <c r="EU133" s="5">
        <f t="shared" si="270"/>
        <v>44.100000000000023</v>
      </c>
      <c r="EV133" s="5">
        <f t="shared" si="270"/>
        <v>0</v>
      </c>
      <c r="EW133" s="5">
        <v>610</v>
      </c>
      <c r="EY133" s="5">
        <v>650</v>
      </c>
    </row>
    <row r="134" spans="1:163" ht="37.5" x14ac:dyDescent="0.25">
      <c r="A134" s="68"/>
      <c r="B134" s="68" t="s">
        <v>321</v>
      </c>
      <c r="C134" s="91" t="s">
        <v>102</v>
      </c>
      <c r="D134" s="67" t="s">
        <v>319</v>
      </c>
      <c r="E134" s="69" t="s">
        <v>322</v>
      </c>
      <c r="F134" s="70">
        <v>744.06000000000006</v>
      </c>
      <c r="G134" s="70">
        <v>0</v>
      </c>
      <c r="H134" s="70">
        <v>956.63000000000011</v>
      </c>
      <c r="I134" s="70">
        <v>0</v>
      </c>
      <c r="J134" s="71">
        <f t="shared" ref="J134:AA134" si="359">+J132+J133</f>
        <v>1110</v>
      </c>
      <c r="K134" s="71">
        <f t="shared" si="359"/>
        <v>0</v>
      </c>
      <c r="L134" s="71">
        <f t="shared" si="359"/>
        <v>0</v>
      </c>
      <c r="M134" s="71">
        <f t="shared" si="359"/>
        <v>1110</v>
      </c>
      <c r="N134" s="71">
        <f t="shared" si="359"/>
        <v>0</v>
      </c>
      <c r="O134" s="71">
        <f t="shared" si="359"/>
        <v>0</v>
      </c>
      <c r="P134" s="71">
        <f t="shared" si="359"/>
        <v>0</v>
      </c>
      <c r="Q134" s="71">
        <f t="shared" si="359"/>
        <v>0</v>
      </c>
      <c r="R134" s="71">
        <f t="shared" si="359"/>
        <v>1110</v>
      </c>
      <c r="S134" s="71">
        <f t="shared" si="359"/>
        <v>0</v>
      </c>
      <c r="T134" s="71">
        <f t="shared" si="359"/>
        <v>0</v>
      </c>
      <c r="U134" s="71">
        <f t="shared" si="359"/>
        <v>0</v>
      </c>
      <c r="V134" s="71">
        <f t="shared" si="359"/>
        <v>1012.4</v>
      </c>
      <c r="W134" s="71">
        <f t="shared" si="359"/>
        <v>0</v>
      </c>
      <c r="X134" s="71">
        <f t="shared" si="359"/>
        <v>97.600000000000023</v>
      </c>
      <c r="Y134" s="71">
        <f t="shared" si="359"/>
        <v>0</v>
      </c>
      <c r="Z134" s="71">
        <f t="shared" si="359"/>
        <v>1006.25</v>
      </c>
      <c r="AA134" s="71">
        <f t="shared" si="359"/>
        <v>0</v>
      </c>
      <c r="AB134" s="70">
        <f t="shared" ref="AB134:AB197" si="360">Z134+AA134</f>
        <v>1006.25</v>
      </c>
      <c r="AC134" s="43">
        <f t="shared" ref="AC134:AC197" si="361">AD134-AB134</f>
        <v>0</v>
      </c>
      <c r="AD134" s="70">
        <f t="shared" ref="AD134:CQ134" si="362">+AD132+AD133</f>
        <v>1006.25</v>
      </c>
      <c r="AE134" s="70">
        <f t="shared" si="362"/>
        <v>0</v>
      </c>
      <c r="AF134" s="70">
        <f t="shared" si="362"/>
        <v>0</v>
      </c>
      <c r="AG134" s="70">
        <f t="shared" si="362"/>
        <v>252</v>
      </c>
      <c r="AH134" s="70">
        <f t="shared" si="362"/>
        <v>0</v>
      </c>
      <c r="AI134" s="96">
        <f t="shared" si="362"/>
        <v>84</v>
      </c>
      <c r="AJ134" s="70">
        <f t="shared" si="362"/>
        <v>0</v>
      </c>
      <c r="AK134" s="70">
        <f t="shared" si="362"/>
        <v>0</v>
      </c>
      <c r="AL134" s="70">
        <f t="shared" si="362"/>
        <v>0</v>
      </c>
      <c r="AM134" s="70">
        <f t="shared" si="362"/>
        <v>251.56</v>
      </c>
      <c r="AN134" s="70">
        <f t="shared" si="362"/>
        <v>0</v>
      </c>
      <c r="AO134" s="70">
        <f t="shared" si="362"/>
        <v>0</v>
      </c>
      <c r="AP134" s="70">
        <f t="shared" si="362"/>
        <v>0</v>
      </c>
      <c r="AQ134" s="70">
        <f t="shared" si="362"/>
        <v>503.56</v>
      </c>
      <c r="AR134" s="70">
        <f t="shared" si="362"/>
        <v>0</v>
      </c>
      <c r="AS134" s="70">
        <f t="shared" si="362"/>
        <v>0</v>
      </c>
      <c r="AT134" s="70">
        <f t="shared" si="362"/>
        <v>0</v>
      </c>
      <c r="AU134" s="70">
        <f t="shared" si="362"/>
        <v>251.56</v>
      </c>
      <c r="AV134" s="70">
        <f t="shared" si="362"/>
        <v>0</v>
      </c>
      <c r="AW134" s="70">
        <f t="shared" si="362"/>
        <v>80</v>
      </c>
      <c r="AX134" s="70">
        <f t="shared" si="362"/>
        <v>0</v>
      </c>
      <c r="AY134" s="70">
        <f t="shared" si="362"/>
        <v>919.12</v>
      </c>
      <c r="AZ134" s="70">
        <f t="shared" si="362"/>
        <v>0</v>
      </c>
      <c r="BA134" s="70">
        <f t="shared" si="362"/>
        <v>919.12</v>
      </c>
      <c r="BB134" s="70">
        <f t="shared" si="362"/>
        <v>814.88</v>
      </c>
      <c r="BC134" s="70">
        <f t="shared" si="362"/>
        <v>0</v>
      </c>
      <c r="BD134" s="70">
        <f t="shared" si="362"/>
        <v>104.24000000000001</v>
      </c>
      <c r="BE134" s="70">
        <f t="shared" si="362"/>
        <v>0</v>
      </c>
      <c r="BF134" s="70">
        <f t="shared" si="362"/>
        <v>162.98000000000002</v>
      </c>
      <c r="BG134" s="96">
        <f t="shared" si="362"/>
        <v>0</v>
      </c>
      <c r="BH134" s="96">
        <f t="shared" si="362"/>
        <v>37.97</v>
      </c>
      <c r="BI134" s="96">
        <f t="shared" si="362"/>
        <v>0</v>
      </c>
      <c r="BJ134" s="96">
        <f t="shared" si="362"/>
        <v>0</v>
      </c>
      <c r="BK134" s="96">
        <f t="shared" si="362"/>
        <v>0</v>
      </c>
      <c r="BL134" s="96">
        <f t="shared" si="362"/>
        <v>957.09</v>
      </c>
      <c r="BM134" s="96">
        <f t="shared" si="362"/>
        <v>0</v>
      </c>
      <c r="BN134" s="96">
        <f t="shared" si="362"/>
        <v>957.09</v>
      </c>
      <c r="BO134" s="96">
        <f t="shared" si="362"/>
        <v>861.1</v>
      </c>
      <c r="BP134" s="96">
        <f t="shared" si="362"/>
        <v>0</v>
      </c>
      <c r="BQ134" s="70">
        <f t="shared" si="362"/>
        <v>95.990000000000009</v>
      </c>
      <c r="BR134" s="70">
        <f t="shared" si="362"/>
        <v>0</v>
      </c>
      <c r="BS134" s="70">
        <f t="shared" si="362"/>
        <v>78.289999999999992</v>
      </c>
      <c r="BT134" s="70">
        <f t="shared" si="362"/>
        <v>0</v>
      </c>
      <c r="BU134" s="70">
        <f t="shared" si="362"/>
        <v>64.5</v>
      </c>
      <c r="BV134" s="70">
        <f t="shared" si="362"/>
        <v>0</v>
      </c>
      <c r="BW134" s="70">
        <f t="shared" si="362"/>
        <v>0</v>
      </c>
      <c r="BX134" s="70">
        <f t="shared" si="362"/>
        <v>0</v>
      </c>
      <c r="BY134" s="70">
        <f t="shared" si="362"/>
        <v>0</v>
      </c>
      <c r="BZ134" s="70">
        <f t="shared" si="362"/>
        <v>0</v>
      </c>
      <c r="CA134" s="70">
        <f t="shared" si="362"/>
        <v>1021.59</v>
      </c>
      <c r="CB134" s="70">
        <f t="shared" si="362"/>
        <v>0</v>
      </c>
      <c r="CC134" s="70">
        <f t="shared" si="362"/>
        <v>1123.75</v>
      </c>
      <c r="CD134" s="70">
        <f t="shared" si="362"/>
        <v>0</v>
      </c>
      <c r="CE134" s="70">
        <f t="shared" si="362"/>
        <v>94</v>
      </c>
      <c r="CF134" s="70">
        <f t="shared" si="362"/>
        <v>0</v>
      </c>
      <c r="CG134" s="70">
        <f t="shared" si="362"/>
        <v>255.4</v>
      </c>
      <c r="CH134" s="96">
        <f t="shared" si="362"/>
        <v>0</v>
      </c>
      <c r="CI134" s="70">
        <f t="shared" si="362"/>
        <v>0</v>
      </c>
      <c r="CJ134" s="70">
        <f t="shared" si="362"/>
        <v>0</v>
      </c>
      <c r="CK134" s="70">
        <f t="shared" si="362"/>
        <v>290</v>
      </c>
      <c r="CL134" s="70">
        <f t="shared" si="362"/>
        <v>38.54</v>
      </c>
      <c r="CM134" s="70">
        <f t="shared" si="362"/>
        <v>0</v>
      </c>
      <c r="CN134" s="70">
        <f t="shared" si="362"/>
        <v>0</v>
      </c>
      <c r="CO134" s="70">
        <f t="shared" si="362"/>
        <v>1160</v>
      </c>
      <c r="CP134" s="70">
        <f t="shared" si="362"/>
        <v>38.54</v>
      </c>
      <c r="CQ134" s="70">
        <f t="shared" si="362"/>
        <v>1160</v>
      </c>
      <c r="CR134" s="70">
        <f t="shared" ref="CR134:EZ134" si="363">+CR132+CR133</f>
        <v>154.16</v>
      </c>
      <c r="CS134" s="70">
        <f t="shared" si="363"/>
        <v>1110</v>
      </c>
      <c r="CT134" s="70">
        <f t="shared" si="363"/>
        <v>38.54</v>
      </c>
      <c r="CU134" s="70">
        <f t="shared" si="363"/>
        <v>1110</v>
      </c>
      <c r="CV134" s="70">
        <f t="shared" si="363"/>
        <v>38.54</v>
      </c>
      <c r="CW134" s="70">
        <f t="shared" si="363"/>
        <v>277.5</v>
      </c>
      <c r="CX134" s="70">
        <f t="shared" si="363"/>
        <v>0</v>
      </c>
      <c r="CY134" s="70">
        <f t="shared" si="363"/>
        <v>0</v>
      </c>
      <c r="CZ134" s="70">
        <f t="shared" si="363"/>
        <v>0</v>
      </c>
      <c r="DA134" s="70">
        <f t="shared" si="363"/>
        <v>661.5</v>
      </c>
      <c r="DB134" s="70">
        <f t="shared" si="363"/>
        <v>38.54</v>
      </c>
      <c r="DC134" s="70">
        <f t="shared" si="363"/>
        <v>661.06</v>
      </c>
      <c r="DD134" s="70">
        <f t="shared" si="363"/>
        <v>38.54</v>
      </c>
      <c r="DE134" s="70">
        <f t="shared" si="363"/>
        <v>0.43999999999999773</v>
      </c>
      <c r="DF134" s="70">
        <f t="shared" si="363"/>
        <v>0</v>
      </c>
      <c r="DG134" s="70">
        <f t="shared" si="363"/>
        <v>277.5</v>
      </c>
      <c r="DH134" s="70">
        <f t="shared" si="363"/>
        <v>9.64</v>
      </c>
      <c r="DI134" s="70">
        <f t="shared" si="363"/>
        <v>277.06</v>
      </c>
      <c r="DJ134" s="70">
        <f t="shared" si="363"/>
        <v>0</v>
      </c>
      <c r="DK134" s="70">
        <f t="shared" si="363"/>
        <v>22</v>
      </c>
      <c r="DL134" s="70">
        <f t="shared" si="363"/>
        <v>0</v>
      </c>
      <c r="DM134" s="70">
        <f t="shared" si="363"/>
        <v>960.56</v>
      </c>
      <c r="DN134" s="70">
        <f t="shared" si="363"/>
        <v>38.54</v>
      </c>
      <c r="DO134" s="70">
        <f t="shared" si="363"/>
        <v>946.87</v>
      </c>
      <c r="DP134" s="70">
        <f t="shared" si="363"/>
        <v>38.54</v>
      </c>
      <c r="DQ134" s="70">
        <f t="shared" si="363"/>
        <v>13.69</v>
      </c>
      <c r="DR134" s="70">
        <f t="shared" si="363"/>
        <v>0</v>
      </c>
      <c r="DS134" s="70">
        <f t="shared" si="363"/>
        <v>94.686999999999998</v>
      </c>
      <c r="DT134" s="70">
        <f t="shared" si="363"/>
        <v>3.8540000000000001</v>
      </c>
      <c r="DU134" s="70">
        <f t="shared" si="363"/>
        <v>80.997</v>
      </c>
      <c r="DV134" s="70">
        <f t="shared" si="363"/>
        <v>3.8540000000000001</v>
      </c>
      <c r="DW134" s="70">
        <f t="shared" si="363"/>
        <v>0.44</v>
      </c>
      <c r="DX134" s="70">
        <f t="shared" si="363"/>
        <v>0</v>
      </c>
      <c r="DY134" s="70">
        <f t="shared" si="363"/>
        <v>81.44</v>
      </c>
      <c r="DZ134" s="70">
        <f t="shared" si="363"/>
        <v>0</v>
      </c>
      <c r="EA134" s="70">
        <f t="shared" si="363"/>
        <v>0</v>
      </c>
      <c r="EB134" s="96">
        <f t="shared" si="363"/>
        <v>1</v>
      </c>
      <c r="EC134" s="70">
        <f t="shared" si="363"/>
        <v>1042</v>
      </c>
      <c r="ED134" s="70">
        <f t="shared" si="363"/>
        <v>39.54</v>
      </c>
      <c r="EE134" s="70">
        <f t="shared" si="363"/>
        <v>993.06</v>
      </c>
      <c r="EF134" s="70">
        <f t="shared" si="363"/>
        <v>38.54</v>
      </c>
      <c r="EG134" s="70">
        <f t="shared" si="363"/>
        <v>190.51999999999998</v>
      </c>
      <c r="EH134" s="70" t="e">
        <f t="shared" si="363"/>
        <v>#DIV/0!</v>
      </c>
      <c r="EI134" s="70">
        <f t="shared" si="363"/>
        <v>48.94</v>
      </c>
      <c r="EJ134" s="70">
        <f t="shared" si="363"/>
        <v>1</v>
      </c>
      <c r="EK134" s="70">
        <f t="shared" si="363"/>
        <v>90.28</v>
      </c>
      <c r="EL134" s="70">
        <f t="shared" si="363"/>
        <v>3.5</v>
      </c>
      <c r="EM134" s="70">
        <f t="shared" si="363"/>
        <v>41.34</v>
      </c>
      <c r="EN134" s="70">
        <f t="shared" si="363"/>
        <v>2.5</v>
      </c>
      <c r="EO134" s="70">
        <f t="shared" si="363"/>
        <v>95.15</v>
      </c>
      <c r="EP134" s="70">
        <f t="shared" si="363"/>
        <v>0</v>
      </c>
      <c r="EQ134" s="66">
        <f t="shared" si="363"/>
        <v>0</v>
      </c>
      <c r="ER134" s="46">
        <f t="shared" si="363"/>
        <v>0</v>
      </c>
      <c r="ES134" s="46">
        <f t="shared" si="363"/>
        <v>0</v>
      </c>
      <c r="ET134" s="46">
        <f t="shared" si="363"/>
        <v>0</v>
      </c>
      <c r="EU134" s="5">
        <f t="shared" si="270"/>
        <v>42.849999999999994</v>
      </c>
      <c r="EV134" s="5">
        <f t="shared" si="270"/>
        <v>-1</v>
      </c>
      <c r="EW134" s="46">
        <f t="shared" si="363"/>
        <v>1180</v>
      </c>
      <c r="EX134" s="46">
        <f t="shared" si="363"/>
        <v>38.54</v>
      </c>
      <c r="EY134" s="46">
        <f t="shared" si="363"/>
        <v>1250</v>
      </c>
      <c r="EZ134" s="46">
        <f t="shared" si="363"/>
        <v>100</v>
      </c>
    </row>
    <row r="135" spans="1:163" ht="37.5" x14ac:dyDescent="0.25">
      <c r="A135" s="68"/>
      <c r="B135" s="68"/>
      <c r="C135" s="91"/>
      <c r="D135" s="67" t="s">
        <v>323</v>
      </c>
      <c r="E135" s="69" t="s">
        <v>324</v>
      </c>
      <c r="F135" s="40">
        <v>36205.109999999993</v>
      </c>
      <c r="G135" s="40">
        <v>11450.289999999997</v>
      </c>
      <c r="H135" s="40">
        <v>36556.42</v>
      </c>
      <c r="I135" s="40">
        <v>11650.539999999997</v>
      </c>
      <c r="J135" s="41">
        <f t="shared" ref="J135:AA135" si="364">+J134+J131+J130+J129+J128+J127+J126+J125+J117+J118+J119+J122+J110+J113+J114+J104+J107+J101+J98+J95+J94+J93+J90</f>
        <v>42962.216</v>
      </c>
      <c r="K135" s="41">
        <f t="shared" si="364"/>
        <v>370</v>
      </c>
      <c r="L135" s="41">
        <f t="shared" si="364"/>
        <v>1.1000000000000001</v>
      </c>
      <c r="M135" s="41">
        <f t="shared" si="364"/>
        <v>43333.315999999999</v>
      </c>
      <c r="N135" s="41">
        <f t="shared" si="364"/>
        <v>752.5</v>
      </c>
      <c r="O135" s="41">
        <f t="shared" si="364"/>
        <v>13</v>
      </c>
      <c r="P135" s="41">
        <f t="shared" si="364"/>
        <v>0</v>
      </c>
      <c r="Q135" s="41">
        <f t="shared" si="364"/>
        <v>765.5</v>
      </c>
      <c r="R135" s="41">
        <f t="shared" si="364"/>
        <v>43348.815999999999</v>
      </c>
      <c r="S135" s="41">
        <f t="shared" si="364"/>
        <v>12981.45</v>
      </c>
      <c r="T135" s="41">
        <f t="shared" si="364"/>
        <v>0</v>
      </c>
      <c r="U135" s="41">
        <f t="shared" si="364"/>
        <v>0</v>
      </c>
      <c r="V135" s="41">
        <f t="shared" si="364"/>
        <v>38687.659999999996</v>
      </c>
      <c r="W135" s="41">
        <f t="shared" si="364"/>
        <v>12031.51</v>
      </c>
      <c r="X135" s="41">
        <f t="shared" si="364"/>
        <v>4661.1559999999999</v>
      </c>
      <c r="Y135" s="41">
        <f t="shared" si="364"/>
        <v>949.94000000000028</v>
      </c>
      <c r="Z135" s="41">
        <f t="shared" si="364"/>
        <v>38067.82</v>
      </c>
      <c r="AA135" s="41">
        <f t="shared" si="364"/>
        <v>618.87</v>
      </c>
      <c r="AB135" s="40">
        <f t="shared" si="360"/>
        <v>38686.69</v>
      </c>
      <c r="AC135" s="43">
        <f t="shared" si="361"/>
        <v>0</v>
      </c>
      <c r="AD135" s="40">
        <f t="shared" ref="AD135:CO135" si="365">+AD134+AD131+AD130+AD129+AD128+AD127+AD126+AD125+AD117+AD118+AD119+AD122+AD110+AD113+AD114+AD104+AD107+AD101+AD98+AD95+AD94+AD93+AD90</f>
        <v>38686.689999999995</v>
      </c>
      <c r="AE135" s="40">
        <f t="shared" si="365"/>
        <v>11482.03</v>
      </c>
      <c r="AF135" s="40">
        <f t="shared" si="365"/>
        <v>11711.869999999999</v>
      </c>
      <c r="AG135" s="40">
        <f t="shared" si="365"/>
        <v>9472</v>
      </c>
      <c r="AH135" s="40">
        <f t="shared" si="365"/>
        <v>2923</v>
      </c>
      <c r="AI135" s="40">
        <f t="shared" si="365"/>
        <v>3157</v>
      </c>
      <c r="AJ135" s="40">
        <f t="shared" si="365"/>
        <v>947</v>
      </c>
      <c r="AK135" s="40">
        <f t="shared" si="365"/>
        <v>224</v>
      </c>
      <c r="AL135" s="40">
        <f t="shared" si="365"/>
        <v>349.75</v>
      </c>
      <c r="AM135" s="40">
        <f t="shared" si="365"/>
        <v>9671.7099999999991</v>
      </c>
      <c r="AN135" s="40">
        <f t="shared" si="365"/>
        <v>2770.29</v>
      </c>
      <c r="AO135" s="40">
        <f t="shared" si="365"/>
        <v>46.65</v>
      </c>
      <c r="AP135" s="40">
        <f t="shared" si="365"/>
        <v>26.74</v>
      </c>
      <c r="AQ135" s="40">
        <f t="shared" si="365"/>
        <v>19414.360000000004</v>
      </c>
      <c r="AR135" s="40">
        <f t="shared" si="365"/>
        <v>6069.7800000000007</v>
      </c>
      <c r="AS135" s="40">
        <f t="shared" si="365"/>
        <v>64.64</v>
      </c>
      <c r="AT135" s="40">
        <f t="shared" si="365"/>
        <v>60</v>
      </c>
      <c r="AU135" s="40">
        <f t="shared" si="365"/>
        <v>9468.0199999999986</v>
      </c>
      <c r="AV135" s="40">
        <f t="shared" si="365"/>
        <v>2819.4900000000002</v>
      </c>
      <c r="AW135" s="40">
        <f t="shared" si="365"/>
        <v>221.48999999999998</v>
      </c>
      <c r="AX135" s="40">
        <f t="shared" si="365"/>
        <v>779.60000000000014</v>
      </c>
      <c r="AY135" s="40">
        <f t="shared" si="365"/>
        <v>32325.51</v>
      </c>
      <c r="AZ135" s="40">
        <f t="shared" si="365"/>
        <v>10675.87</v>
      </c>
      <c r="BA135" s="40">
        <f t="shared" si="365"/>
        <v>43001.380000000005</v>
      </c>
      <c r="BB135" s="40">
        <f t="shared" si="365"/>
        <v>30814.78</v>
      </c>
      <c r="BC135" s="40">
        <f t="shared" si="365"/>
        <v>10186.369999999999</v>
      </c>
      <c r="BD135" s="40">
        <f t="shared" si="365"/>
        <v>1510.73</v>
      </c>
      <c r="BE135" s="40">
        <f t="shared" si="365"/>
        <v>489.50000000000051</v>
      </c>
      <c r="BF135" s="40">
        <f t="shared" si="365"/>
        <v>6162.9599999999991</v>
      </c>
      <c r="BG135" s="40">
        <f t="shared" si="365"/>
        <v>2037.2800000000002</v>
      </c>
      <c r="BH135" s="40">
        <f t="shared" si="365"/>
        <v>2502.69</v>
      </c>
      <c r="BI135" s="40">
        <f t="shared" si="365"/>
        <v>686.8900000000001</v>
      </c>
      <c r="BJ135" s="40">
        <f t="shared" si="365"/>
        <v>67.16</v>
      </c>
      <c r="BK135" s="40">
        <f t="shared" si="365"/>
        <v>55</v>
      </c>
      <c r="BL135" s="40">
        <f t="shared" si="365"/>
        <v>34895.360000000008</v>
      </c>
      <c r="BM135" s="40">
        <f t="shared" si="365"/>
        <v>11417.76</v>
      </c>
      <c r="BN135" s="40">
        <f t="shared" si="365"/>
        <v>46313.120000000003</v>
      </c>
      <c r="BO135" s="40">
        <f t="shared" si="365"/>
        <v>33923.599999999999</v>
      </c>
      <c r="BP135" s="102">
        <f t="shared" si="365"/>
        <v>11100.96</v>
      </c>
      <c r="BQ135" s="40">
        <f t="shared" si="365"/>
        <v>971.76000000000056</v>
      </c>
      <c r="BR135" s="40">
        <f t="shared" si="365"/>
        <v>316.80000000000058</v>
      </c>
      <c r="BS135" s="40">
        <f t="shared" si="365"/>
        <v>3083.9699999999993</v>
      </c>
      <c r="BT135" s="40">
        <f t="shared" si="365"/>
        <v>1009.18</v>
      </c>
      <c r="BU135" s="40">
        <f t="shared" si="365"/>
        <v>2423.690000000001</v>
      </c>
      <c r="BV135" s="40">
        <f t="shared" si="365"/>
        <v>959.06999999999994</v>
      </c>
      <c r="BW135" s="40">
        <f t="shared" si="365"/>
        <v>932.71</v>
      </c>
      <c r="BX135" s="40">
        <f t="shared" si="365"/>
        <v>969.51</v>
      </c>
      <c r="BY135" s="40">
        <f t="shared" si="365"/>
        <v>20.88</v>
      </c>
      <c r="BZ135" s="40">
        <f t="shared" si="365"/>
        <v>0</v>
      </c>
      <c r="CA135" s="40">
        <f t="shared" si="365"/>
        <v>38251.760000000002</v>
      </c>
      <c r="CB135" s="40">
        <f t="shared" si="365"/>
        <v>13325.460000000001</v>
      </c>
      <c r="CC135" s="40">
        <f t="shared" si="365"/>
        <v>42076.97</v>
      </c>
      <c r="CD135" s="40">
        <f t="shared" si="365"/>
        <v>15324.289999999999</v>
      </c>
      <c r="CE135" s="40">
        <f t="shared" si="365"/>
        <v>3508</v>
      </c>
      <c r="CF135" s="40">
        <f t="shared" si="365"/>
        <v>1254</v>
      </c>
      <c r="CG135" s="40">
        <f t="shared" si="365"/>
        <v>9562.98</v>
      </c>
      <c r="CH135" s="102">
        <f t="shared" si="365"/>
        <v>3331.3699999999994</v>
      </c>
      <c r="CI135" s="40">
        <f t="shared" si="365"/>
        <v>0</v>
      </c>
      <c r="CJ135" s="40">
        <f t="shared" si="365"/>
        <v>0</v>
      </c>
      <c r="CK135" s="40">
        <f t="shared" si="365"/>
        <v>10501.67</v>
      </c>
      <c r="CL135" s="40">
        <f t="shared" si="365"/>
        <v>3456.04</v>
      </c>
      <c r="CM135" s="40">
        <f t="shared" si="365"/>
        <v>19</v>
      </c>
      <c r="CN135" s="40">
        <f t="shared" si="365"/>
        <v>275</v>
      </c>
      <c r="CO135" s="40">
        <f t="shared" si="365"/>
        <v>44354.18</v>
      </c>
      <c r="CP135" s="40">
        <f t="shared" ref="CP135:FC135" si="366">+CP134+CP131+CP130+CP129+CP128+CP127+CP126+CP125+CP117+CP118+CP119+CP122+CP110+CP113+CP114+CP104+CP107+CP101+CP98+CP95+CP94+CP93+CP90</f>
        <v>13618.54</v>
      </c>
      <c r="CQ135" s="40">
        <f t="shared" si="366"/>
        <v>42006.68</v>
      </c>
      <c r="CR135" s="40">
        <f t="shared" si="366"/>
        <v>14077.16</v>
      </c>
      <c r="CS135" s="40">
        <f t="shared" si="366"/>
        <v>41060.019999999997</v>
      </c>
      <c r="CT135" s="40">
        <f t="shared" si="366"/>
        <v>13049.54</v>
      </c>
      <c r="CU135" s="40">
        <f t="shared" si="366"/>
        <v>42427.35</v>
      </c>
      <c r="CV135" s="40">
        <f t="shared" si="366"/>
        <v>13892.96</v>
      </c>
      <c r="CW135" s="40">
        <f t="shared" si="366"/>
        <v>10120.6</v>
      </c>
      <c r="CX135" s="40">
        <f t="shared" si="366"/>
        <v>3215.51</v>
      </c>
      <c r="CY135" s="40">
        <f t="shared" si="366"/>
        <v>250</v>
      </c>
      <c r="CZ135" s="40">
        <f t="shared" si="366"/>
        <v>492</v>
      </c>
      <c r="DA135" s="40">
        <f t="shared" si="366"/>
        <v>24399.269999999997</v>
      </c>
      <c r="DB135" s="40">
        <f t="shared" si="366"/>
        <v>8692.5499999999993</v>
      </c>
      <c r="DC135" s="40">
        <f t="shared" si="366"/>
        <v>23397.429999999997</v>
      </c>
      <c r="DD135" s="40">
        <f t="shared" si="366"/>
        <v>7794.93</v>
      </c>
      <c r="DE135" s="40">
        <f t="shared" si="366"/>
        <v>1001.84</v>
      </c>
      <c r="DF135" s="40">
        <f t="shared" si="366"/>
        <v>897.62</v>
      </c>
      <c r="DG135" s="40">
        <f t="shared" si="366"/>
        <v>10481.230000000001</v>
      </c>
      <c r="DH135" s="40">
        <f t="shared" si="366"/>
        <v>3464.85</v>
      </c>
      <c r="DI135" s="40">
        <f t="shared" si="366"/>
        <v>9398.1399999999976</v>
      </c>
      <c r="DJ135" s="40">
        <f t="shared" si="366"/>
        <v>2509.8100000000004</v>
      </c>
      <c r="DK135" s="40">
        <f t="shared" si="366"/>
        <v>379.49</v>
      </c>
      <c r="DL135" s="40">
        <f t="shared" si="366"/>
        <v>141.91</v>
      </c>
      <c r="DM135" s="40">
        <f t="shared" si="366"/>
        <v>34176.9</v>
      </c>
      <c r="DN135" s="70">
        <f t="shared" si="366"/>
        <v>11344.27</v>
      </c>
      <c r="DO135" s="70">
        <f t="shared" si="366"/>
        <v>33343.31</v>
      </c>
      <c r="DP135" s="70">
        <f t="shared" si="366"/>
        <v>10945.09</v>
      </c>
      <c r="DQ135" s="70">
        <f t="shared" si="366"/>
        <v>833.59</v>
      </c>
      <c r="DR135" s="70">
        <f t="shared" si="366"/>
        <v>399.18</v>
      </c>
      <c r="DS135" s="70">
        <f t="shared" si="366"/>
        <v>3334.3310000000001</v>
      </c>
      <c r="DT135" s="70">
        <f t="shared" si="366"/>
        <v>1094.5090000000002</v>
      </c>
      <c r="DU135" s="70">
        <f t="shared" si="366"/>
        <v>2500.7410000000004</v>
      </c>
      <c r="DV135" s="70">
        <f t="shared" si="366"/>
        <v>695.32899999999995</v>
      </c>
      <c r="DW135" s="70">
        <f t="shared" si="366"/>
        <v>0.44</v>
      </c>
      <c r="DX135" s="70">
        <f t="shared" si="366"/>
        <v>77.41</v>
      </c>
      <c r="DY135" s="70">
        <f t="shared" si="366"/>
        <v>2593.37</v>
      </c>
      <c r="DZ135" s="70">
        <f t="shared" si="366"/>
        <v>1408.9899999999998</v>
      </c>
      <c r="EA135" s="70">
        <f t="shared" si="366"/>
        <v>47.5</v>
      </c>
      <c r="EB135" s="96">
        <f t="shared" si="366"/>
        <v>1</v>
      </c>
      <c r="EC135" s="70">
        <f t="shared" si="366"/>
        <v>36817.769999999997</v>
      </c>
      <c r="ED135" s="70">
        <f t="shared" si="366"/>
        <v>12754.260000000002</v>
      </c>
      <c r="EE135" s="70">
        <f t="shared" si="366"/>
        <v>36302.92</v>
      </c>
      <c r="EF135" s="70">
        <f t="shared" si="366"/>
        <v>12103.320000000002</v>
      </c>
      <c r="EG135" s="70">
        <f t="shared" si="366"/>
        <v>3317.0699999999997</v>
      </c>
      <c r="EH135" s="70" t="e">
        <f t="shared" si="366"/>
        <v>#DIV/0!</v>
      </c>
      <c r="EI135" s="70">
        <f t="shared" si="366"/>
        <v>514.85</v>
      </c>
      <c r="EJ135" s="70">
        <f t="shared" si="366"/>
        <v>650.94000000000005</v>
      </c>
      <c r="EK135" s="70">
        <f t="shared" si="366"/>
        <v>3300.24</v>
      </c>
      <c r="EL135" s="70">
        <f t="shared" si="366"/>
        <v>1100.3000000000004</v>
      </c>
      <c r="EM135" s="70">
        <f t="shared" si="366"/>
        <v>2785.39</v>
      </c>
      <c r="EN135" s="70">
        <f t="shared" si="366"/>
        <v>449.36000000000007</v>
      </c>
      <c r="EO135" s="70">
        <f t="shared" si="366"/>
        <v>3255.89</v>
      </c>
      <c r="EP135" s="70">
        <f t="shared" si="366"/>
        <v>2010.8</v>
      </c>
      <c r="EQ135" s="79">
        <f t="shared" si="366"/>
        <v>0</v>
      </c>
      <c r="ER135" s="62">
        <f t="shared" si="366"/>
        <v>0</v>
      </c>
      <c r="ES135" s="62">
        <f t="shared" si="366"/>
        <v>285</v>
      </c>
      <c r="ET135" s="62">
        <f t="shared" si="366"/>
        <v>1313.72</v>
      </c>
      <c r="EU135" s="5">
        <f t="shared" si="270"/>
        <v>2671.4500000000039</v>
      </c>
      <c r="EV135" s="5">
        <f t="shared" si="270"/>
        <v>460.83999999999764</v>
      </c>
      <c r="EW135" s="62">
        <f t="shared" si="366"/>
        <v>42745.11</v>
      </c>
      <c r="EX135" s="64">
        <f t="shared" si="366"/>
        <v>15225.9</v>
      </c>
      <c r="EY135" s="64">
        <f t="shared" si="366"/>
        <v>48804.29</v>
      </c>
      <c r="EZ135" s="64">
        <f t="shared" si="366"/>
        <v>16689.5</v>
      </c>
      <c r="FA135" s="64">
        <f t="shared" si="366"/>
        <v>0</v>
      </c>
      <c r="FB135" s="64">
        <f t="shared" si="366"/>
        <v>0</v>
      </c>
      <c r="FC135" s="64">
        <f t="shared" si="366"/>
        <v>0</v>
      </c>
      <c r="FG135" s="5"/>
    </row>
    <row r="136" spans="1:163" ht="18.75" x14ac:dyDescent="0.25">
      <c r="A136" s="68">
        <v>1</v>
      </c>
      <c r="B136" s="68" t="s">
        <v>325</v>
      </c>
      <c r="C136" s="91" t="s">
        <v>136</v>
      </c>
      <c r="D136" s="67" t="s">
        <v>326</v>
      </c>
      <c r="E136" s="69" t="s">
        <v>327</v>
      </c>
      <c r="F136" s="40">
        <v>1733.56</v>
      </c>
      <c r="G136" s="40">
        <v>454.29000000000008</v>
      </c>
      <c r="H136" s="40">
        <v>1583.56</v>
      </c>
      <c r="I136" s="70">
        <v>454.29000000000008</v>
      </c>
      <c r="J136" s="71">
        <v>1400</v>
      </c>
      <c r="K136" s="71">
        <v>0</v>
      </c>
      <c r="L136" s="71">
        <v>0</v>
      </c>
      <c r="M136" s="71">
        <f t="shared" ref="M136:M155" si="367">J136+K136+L136</f>
        <v>1400</v>
      </c>
      <c r="N136" s="71">
        <v>0</v>
      </c>
      <c r="O136" s="71">
        <v>0</v>
      </c>
      <c r="P136" s="71">
        <v>0</v>
      </c>
      <c r="Q136" s="71">
        <f t="shared" ref="Q136:Q138" si="368">N136+O136+P136</f>
        <v>0</v>
      </c>
      <c r="R136" s="71">
        <f t="shared" ref="R136:R155" si="369">+Q136+M136</f>
        <v>1400</v>
      </c>
      <c r="S136" s="71">
        <v>625</v>
      </c>
      <c r="T136" s="92"/>
      <c r="U136" s="92"/>
      <c r="V136" s="70">
        <f t="shared" ref="V136:V138" si="370">ROUND(H136*1.0583,2)</f>
        <v>1675.88</v>
      </c>
      <c r="W136" s="70">
        <f t="shared" ref="W136:W138" si="371">ROUND(I136*1.0327,2)</f>
        <v>469.15</v>
      </c>
      <c r="X136" s="70">
        <f t="shared" si="352"/>
        <v>-275.88000000000011</v>
      </c>
      <c r="Y136" s="70">
        <f t="shared" si="352"/>
        <v>155.85000000000002</v>
      </c>
      <c r="Z136" s="70">
        <v>1400</v>
      </c>
      <c r="AA136" s="70"/>
      <c r="AB136" s="70">
        <f t="shared" si="360"/>
        <v>1400</v>
      </c>
      <c r="AC136" s="43">
        <f t="shared" si="361"/>
        <v>0</v>
      </c>
      <c r="AD136" s="70">
        <f t="shared" ref="AD136:AE138" si="372">IF(X136&gt;0,V136,R136)</f>
        <v>1400</v>
      </c>
      <c r="AE136" s="70">
        <f t="shared" si="372"/>
        <v>469.15</v>
      </c>
      <c r="AF136" s="70">
        <f t="shared" ref="AF136:AF199" si="373">ROUND(S136*0.9022,2)</f>
        <v>563.88</v>
      </c>
      <c r="AG136" s="43">
        <f t="shared" si="353"/>
        <v>350</v>
      </c>
      <c r="AH136" s="43">
        <f t="shared" si="353"/>
        <v>117</v>
      </c>
      <c r="AI136" s="93">
        <f t="shared" si="354"/>
        <v>117</v>
      </c>
      <c r="AJ136" s="43">
        <f t="shared" si="354"/>
        <v>39</v>
      </c>
      <c r="AK136" s="43"/>
      <c r="AL136" s="43"/>
      <c r="AM136" s="43">
        <f t="shared" ref="AM136:AM199" si="374">ROUND(AD136*25%,2)</f>
        <v>350</v>
      </c>
      <c r="AN136" s="43">
        <f t="shared" ref="AN136:AN197" si="375">ROUND(AE136*24.35%,2)</f>
        <v>114.24</v>
      </c>
      <c r="AO136" s="43"/>
      <c r="AP136" s="43"/>
      <c r="AQ136" s="43">
        <f t="shared" si="355"/>
        <v>700</v>
      </c>
      <c r="AR136" s="43">
        <f t="shared" si="355"/>
        <v>231.24</v>
      </c>
      <c r="AS136" s="43"/>
      <c r="AT136" s="43"/>
      <c r="AU136" s="43">
        <f t="shared" si="260"/>
        <v>350</v>
      </c>
      <c r="AV136" s="43">
        <f t="shared" si="260"/>
        <v>117.29</v>
      </c>
      <c r="AW136" s="43"/>
      <c r="AX136" s="43"/>
      <c r="AY136" s="43">
        <f t="shared" si="349"/>
        <v>1167</v>
      </c>
      <c r="AZ136" s="43">
        <f t="shared" si="349"/>
        <v>387.53000000000003</v>
      </c>
      <c r="BA136" s="43">
        <f t="shared" si="356"/>
        <v>1554.53</v>
      </c>
      <c r="BB136" s="60">
        <v>1094.75</v>
      </c>
      <c r="BC136" s="60">
        <v>370.51</v>
      </c>
      <c r="BD136" s="60">
        <f t="shared" si="350"/>
        <v>72.25</v>
      </c>
      <c r="BE136" s="60">
        <f t="shared" si="350"/>
        <v>17.020000000000039</v>
      </c>
      <c r="BF136" s="60">
        <f t="shared" si="351"/>
        <v>218.95</v>
      </c>
      <c r="BG136" s="60">
        <f t="shared" si="351"/>
        <v>74.099999999999994</v>
      </c>
      <c r="BH136" s="43">
        <v>49</v>
      </c>
      <c r="BI136" s="43">
        <v>22.5</v>
      </c>
      <c r="BJ136" s="43">
        <v>20</v>
      </c>
      <c r="BK136" s="43"/>
      <c r="BL136" s="43">
        <f t="shared" si="358"/>
        <v>1236</v>
      </c>
      <c r="BM136" s="43">
        <f t="shared" si="358"/>
        <v>410.03000000000003</v>
      </c>
      <c r="BN136" s="43">
        <f t="shared" ref="BN136:BN199" si="376">BL136+BM136</f>
        <v>1646.03</v>
      </c>
      <c r="BO136" s="43">
        <v>1202.08</v>
      </c>
      <c r="BP136" s="93">
        <v>404.23</v>
      </c>
      <c r="BQ136" s="43">
        <f t="shared" ref="BQ136:BR197" si="377">BL136-BO136</f>
        <v>33.920000000000073</v>
      </c>
      <c r="BR136" s="43">
        <f t="shared" si="377"/>
        <v>5.8000000000000114</v>
      </c>
      <c r="BS136" s="43">
        <f t="shared" ref="BS136:BT197" si="378">ROUND(BO136/11,2)</f>
        <v>109.28</v>
      </c>
      <c r="BT136" s="43">
        <f t="shared" si="378"/>
        <v>36.75</v>
      </c>
      <c r="BU136" s="43">
        <v>75.36</v>
      </c>
      <c r="BV136" s="43">
        <v>140</v>
      </c>
      <c r="BW136" s="43"/>
      <c r="BX136" s="43"/>
      <c r="BY136" s="43"/>
      <c r="BZ136" s="43"/>
      <c r="CA136" s="43">
        <v>1311.36</v>
      </c>
      <c r="CB136" s="43">
        <v>550.03</v>
      </c>
      <c r="CC136" s="92">
        <v>1442.5</v>
      </c>
      <c r="CD136" s="92">
        <v>632.53</v>
      </c>
      <c r="CE136" s="92">
        <v>120</v>
      </c>
      <c r="CF136" s="92">
        <v>53</v>
      </c>
      <c r="CG136" s="92">
        <f t="shared" ref="CG136:CH197" si="379">ROUND(CA136/12*3,2)</f>
        <v>327.84</v>
      </c>
      <c r="CH136" s="92">
        <f t="shared" si="379"/>
        <v>137.51</v>
      </c>
      <c r="CI136" s="43"/>
      <c r="CJ136" s="43"/>
      <c r="CK136" s="43">
        <v>350</v>
      </c>
      <c r="CL136" s="43">
        <v>25</v>
      </c>
      <c r="CM136" s="43"/>
      <c r="CN136" s="43"/>
      <c r="CO136" s="43">
        <v>1300</v>
      </c>
      <c r="CP136" s="43">
        <v>400</v>
      </c>
      <c r="CQ136" s="43">
        <f t="shared" ref="CQ136:CR197" si="380">ROUND(CK136/3*12,2)</f>
        <v>1400</v>
      </c>
      <c r="CR136" s="43">
        <f t="shared" si="380"/>
        <v>100</v>
      </c>
      <c r="CS136" s="43">
        <f t="shared" ref="CS136:CV197" si="381">IF(CO136&lt;CQ136,CO136,CQ136)</f>
        <v>1300</v>
      </c>
      <c r="CT136" s="43">
        <f t="shared" si="381"/>
        <v>100</v>
      </c>
      <c r="CU136" s="43">
        <v>1300</v>
      </c>
      <c r="CV136" s="43">
        <v>250</v>
      </c>
      <c r="CW136" s="43">
        <f t="shared" ref="CW136:CX197" si="382">ROUND(CU136*25%,2)</f>
        <v>325</v>
      </c>
      <c r="CX136" s="43">
        <f t="shared" si="382"/>
        <v>62.5</v>
      </c>
      <c r="CY136" s="43">
        <v>25</v>
      </c>
      <c r="CZ136" s="43"/>
      <c r="DA136" s="43">
        <f t="shared" ref="DA136:DB197" si="383">+CY136+CW136+CM136+CK136+CE136</f>
        <v>820</v>
      </c>
      <c r="DB136" s="43">
        <f t="shared" si="383"/>
        <v>140.5</v>
      </c>
      <c r="DC136" s="43">
        <v>798.52</v>
      </c>
      <c r="DD136" s="43">
        <v>136.96</v>
      </c>
      <c r="DE136" s="43">
        <f t="shared" ref="DE136:DF197" si="384">+DA136-DC136</f>
        <v>21.480000000000018</v>
      </c>
      <c r="DF136" s="43">
        <f t="shared" si="384"/>
        <v>3.539999999999992</v>
      </c>
      <c r="DG136" s="43">
        <f>ROUND(0.25*(MIN(CU136,EW136)),2)</f>
        <v>325</v>
      </c>
      <c r="DH136" s="43">
        <f>ROUND(0.25*(MIN(CV136,EX136)),2)</f>
        <v>62.5</v>
      </c>
      <c r="DI136" s="43">
        <f>+DG136-DE136</f>
        <v>303.52</v>
      </c>
      <c r="DJ136" s="43">
        <f>+DH136-DF136</f>
        <v>58.960000000000008</v>
      </c>
      <c r="DK136" s="43">
        <v>30</v>
      </c>
      <c r="DL136" s="43"/>
      <c r="DM136" s="43">
        <f t="shared" ref="DM136:DN197" si="385">+DI136+DA136+DK136</f>
        <v>1153.52</v>
      </c>
      <c r="DN136" s="43">
        <f t="shared" si="385"/>
        <v>199.46</v>
      </c>
      <c r="DO136" s="94">
        <v>1141.69</v>
      </c>
      <c r="DP136" s="95">
        <v>186.28</v>
      </c>
      <c r="DQ136" s="60">
        <f t="shared" ref="DQ136:DR197" si="386">ROUND(DM136-DO136,2)</f>
        <v>11.83</v>
      </c>
      <c r="DR136" s="60">
        <f t="shared" si="386"/>
        <v>13.18</v>
      </c>
      <c r="DS136" s="60">
        <f t="shared" ref="DS136:DT197" si="387">DO136/10</f>
        <v>114.16900000000001</v>
      </c>
      <c r="DT136" s="60">
        <f t="shared" si="387"/>
        <v>18.628</v>
      </c>
      <c r="DU136" s="60">
        <f t="shared" ref="DU136:DV197" si="388">DS136-DQ136</f>
        <v>102.33900000000001</v>
      </c>
      <c r="DV136" s="60">
        <f t="shared" si="388"/>
        <v>5.4480000000000004</v>
      </c>
      <c r="DW136" s="60"/>
      <c r="DX136" s="60"/>
      <c r="DY136" s="60">
        <f t="shared" ref="DY136:DZ198" si="389">ROUND(DU136+DW136,2)</f>
        <v>102.34</v>
      </c>
      <c r="DZ136" s="60">
        <f t="shared" si="389"/>
        <v>5.45</v>
      </c>
      <c r="EA136" s="60"/>
      <c r="EB136" s="60">
        <v>95.09</v>
      </c>
      <c r="EC136" s="43">
        <f t="shared" ref="EC136:ED197" si="390">+DY136+DM136+EA136</f>
        <v>1255.8599999999999</v>
      </c>
      <c r="ED136" s="43">
        <f t="shared" si="390"/>
        <v>300</v>
      </c>
      <c r="EE136" s="43">
        <v>1242.54</v>
      </c>
      <c r="EF136" s="43">
        <v>219.81</v>
      </c>
      <c r="EG136" s="43">
        <f t="shared" si="245"/>
        <v>98.94</v>
      </c>
      <c r="EH136" s="43">
        <f t="shared" si="245"/>
        <v>73.27</v>
      </c>
      <c r="EI136" s="43">
        <f t="shared" ref="EI136:EJ197" si="391">ROUND(EC136-EE136,2)</f>
        <v>13.32</v>
      </c>
      <c r="EJ136" s="43">
        <f t="shared" si="391"/>
        <v>80.19</v>
      </c>
      <c r="EK136" s="43">
        <f t="shared" ref="EK136:EL197" si="392">ROUND(EE136/11,2)</f>
        <v>112.96</v>
      </c>
      <c r="EL136" s="43">
        <f t="shared" si="392"/>
        <v>19.98</v>
      </c>
      <c r="EM136" s="43">
        <f t="shared" ref="EM136:EN197" si="393">+EK136-EI136</f>
        <v>99.639999999999986</v>
      </c>
      <c r="EN136" s="43">
        <f t="shared" si="393"/>
        <v>-60.209999999999994</v>
      </c>
      <c r="EO136" s="43">
        <v>90</v>
      </c>
      <c r="EP136" s="43">
        <v>0</v>
      </c>
      <c r="EQ136" s="5"/>
      <c r="ER136" s="5"/>
      <c r="ES136" s="5"/>
      <c r="ET136" s="5"/>
      <c r="EU136" s="5">
        <f t="shared" si="270"/>
        <v>-45.8599999999999</v>
      </c>
      <c r="EV136" s="5">
        <f t="shared" si="270"/>
        <v>0</v>
      </c>
      <c r="EW136" s="5">
        <v>1300</v>
      </c>
      <c r="EX136" s="5">
        <v>300</v>
      </c>
      <c r="EY136" s="5">
        <v>1300</v>
      </c>
      <c r="EZ136" s="5">
        <v>300</v>
      </c>
    </row>
    <row r="137" spans="1:163" ht="18.75" x14ac:dyDescent="0.25">
      <c r="A137" s="37">
        <v>2</v>
      </c>
      <c r="B137" s="37"/>
      <c r="C137" s="91" t="s">
        <v>218</v>
      </c>
      <c r="D137" s="38" t="s">
        <v>328</v>
      </c>
      <c r="E137" s="39"/>
      <c r="F137" s="40">
        <v>2084.08</v>
      </c>
      <c r="G137" s="40">
        <v>179.38000000000002</v>
      </c>
      <c r="H137" s="40">
        <v>2084.08</v>
      </c>
      <c r="I137" s="40">
        <v>179.38000000000002</v>
      </c>
      <c r="J137" s="41">
        <v>1850</v>
      </c>
      <c r="K137" s="41">
        <v>430</v>
      </c>
      <c r="L137" s="41">
        <v>0</v>
      </c>
      <c r="M137" s="41">
        <f t="shared" si="367"/>
        <v>2280</v>
      </c>
      <c r="N137" s="41">
        <v>0</v>
      </c>
      <c r="O137" s="41">
        <v>0</v>
      </c>
      <c r="P137" s="41">
        <v>0</v>
      </c>
      <c r="Q137" s="41">
        <f t="shared" si="368"/>
        <v>0</v>
      </c>
      <c r="R137" s="41">
        <f t="shared" si="369"/>
        <v>2280</v>
      </c>
      <c r="S137" s="41">
        <v>325</v>
      </c>
      <c r="T137" s="92"/>
      <c r="U137" s="92"/>
      <c r="V137" s="40">
        <f t="shared" si="370"/>
        <v>2205.58</v>
      </c>
      <c r="W137" s="40">
        <f t="shared" si="371"/>
        <v>185.25</v>
      </c>
      <c r="X137" s="43">
        <f t="shared" si="352"/>
        <v>74.420000000000073</v>
      </c>
      <c r="Y137" s="43">
        <f t="shared" si="352"/>
        <v>139.75</v>
      </c>
      <c r="Z137" s="43">
        <v>2205.58</v>
      </c>
      <c r="AA137" s="43"/>
      <c r="AB137" s="43">
        <f t="shared" si="360"/>
        <v>2205.58</v>
      </c>
      <c r="AC137" s="43">
        <f t="shared" si="361"/>
        <v>0</v>
      </c>
      <c r="AD137" s="43">
        <f t="shared" si="372"/>
        <v>2205.58</v>
      </c>
      <c r="AE137" s="43">
        <f t="shared" si="372"/>
        <v>185.25</v>
      </c>
      <c r="AF137" s="43">
        <f t="shared" si="373"/>
        <v>293.22000000000003</v>
      </c>
      <c r="AG137" s="43">
        <f t="shared" si="353"/>
        <v>551</v>
      </c>
      <c r="AH137" s="43">
        <f>ROUND(AE137/4,0)+14</f>
        <v>60</v>
      </c>
      <c r="AI137" s="93">
        <f t="shared" si="354"/>
        <v>184</v>
      </c>
      <c r="AJ137" s="43">
        <f t="shared" si="354"/>
        <v>15</v>
      </c>
      <c r="AK137" s="43"/>
      <c r="AL137" s="43"/>
      <c r="AM137" s="43">
        <f t="shared" si="374"/>
        <v>551.4</v>
      </c>
      <c r="AN137" s="43">
        <f>ROUND(AE137*24.35%,2)+4.89</f>
        <v>50</v>
      </c>
      <c r="AO137" s="43"/>
      <c r="AP137" s="43"/>
      <c r="AQ137" s="43">
        <f t="shared" si="355"/>
        <v>1102.4000000000001</v>
      </c>
      <c r="AR137" s="43">
        <f t="shared" si="355"/>
        <v>110</v>
      </c>
      <c r="AS137" s="43"/>
      <c r="AT137" s="43"/>
      <c r="AU137" s="43">
        <f t="shared" si="260"/>
        <v>551.4</v>
      </c>
      <c r="AV137" s="43">
        <f>ROUND(AE137*25%,2)+10</f>
        <v>56.31</v>
      </c>
      <c r="AW137" s="43"/>
      <c r="AX137" s="43">
        <v>16.71</v>
      </c>
      <c r="AY137" s="43">
        <f t="shared" si="349"/>
        <v>1837.8000000000002</v>
      </c>
      <c r="AZ137" s="43">
        <f t="shared" si="349"/>
        <v>198.02</v>
      </c>
      <c r="BA137" s="43">
        <f t="shared" si="356"/>
        <v>2035.8200000000002</v>
      </c>
      <c r="BB137" s="60">
        <v>1757.17</v>
      </c>
      <c r="BC137" s="60">
        <v>179.47</v>
      </c>
      <c r="BD137" s="60">
        <f t="shared" si="350"/>
        <v>80.630000000000109</v>
      </c>
      <c r="BE137" s="60">
        <f t="shared" si="350"/>
        <v>18.550000000000011</v>
      </c>
      <c r="BF137" s="60">
        <f t="shared" si="351"/>
        <v>351.43</v>
      </c>
      <c r="BG137" s="60">
        <f t="shared" si="351"/>
        <v>35.89</v>
      </c>
      <c r="BH137" s="43">
        <v>117.5</v>
      </c>
      <c r="BI137" s="43">
        <v>42.5</v>
      </c>
      <c r="BJ137" s="43"/>
      <c r="BK137" s="43"/>
      <c r="BL137" s="43">
        <f t="shared" si="358"/>
        <v>1955.3000000000002</v>
      </c>
      <c r="BM137" s="43">
        <f t="shared" si="358"/>
        <v>240.52</v>
      </c>
      <c r="BN137" s="43">
        <f t="shared" si="376"/>
        <v>2195.8200000000002</v>
      </c>
      <c r="BO137" s="43">
        <v>1924.37</v>
      </c>
      <c r="BP137" s="93">
        <v>225.43</v>
      </c>
      <c r="BQ137" s="43">
        <f t="shared" si="377"/>
        <v>30.930000000000291</v>
      </c>
      <c r="BR137" s="43">
        <f t="shared" si="377"/>
        <v>15.090000000000003</v>
      </c>
      <c r="BS137" s="43">
        <f t="shared" si="378"/>
        <v>174.94</v>
      </c>
      <c r="BT137" s="43">
        <f t="shared" si="378"/>
        <v>20.49</v>
      </c>
      <c r="BU137" s="43">
        <v>117.5</v>
      </c>
      <c r="BV137" s="43">
        <v>20</v>
      </c>
      <c r="BW137" s="43"/>
      <c r="BX137" s="43">
        <v>22.5</v>
      </c>
      <c r="BY137" s="43"/>
      <c r="BZ137" s="43"/>
      <c r="CA137" s="43">
        <v>2072.8000000000002</v>
      </c>
      <c r="CB137" s="43">
        <v>283.02</v>
      </c>
      <c r="CC137" s="92">
        <v>2280.08</v>
      </c>
      <c r="CD137" s="92">
        <v>325.47000000000003</v>
      </c>
      <c r="CE137" s="92">
        <v>190</v>
      </c>
      <c r="CF137" s="92">
        <v>27</v>
      </c>
      <c r="CG137" s="92">
        <f t="shared" si="379"/>
        <v>518.20000000000005</v>
      </c>
      <c r="CH137" s="92">
        <f t="shared" si="379"/>
        <v>70.760000000000005</v>
      </c>
      <c r="CI137" s="43"/>
      <c r="CJ137" s="43"/>
      <c r="CK137" s="43">
        <v>570</v>
      </c>
      <c r="CL137" s="43">
        <v>60</v>
      </c>
      <c r="CM137" s="43"/>
      <c r="CN137" s="43"/>
      <c r="CO137" s="43">
        <v>2432.54</v>
      </c>
      <c r="CP137" s="43">
        <v>125</v>
      </c>
      <c r="CQ137" s="43">
        <f t="shared" si="380"/>
        <v>2280</v>
      </c>
      <c r="CR137" s="43">
        <f t="shared" si="380"/>
        <v>240</v>
      </c>
      <c r="CS137" s="43">
        <f t="shared" si="381"/>
        <v>2280</v>
      </c>
      <c r="CT137" s="43">
        <f t="shared" si="381"/>
        <v>125</v>
      </c>
      <c r="CU137" s="43">
        <f t="shared" si="381"/>
        <v>2280</v>
      </c>
      <c r="CV137" s="43">
        <f>IF(CR137&lt;CT137,CR137,CT137)+122</f>
        <v>247</v>
      </c>
      <c r="CW137" s="43">
        <v>570</v>
      </c>
      <c r="CX137" s="43">
        <v>0</v>
      </c>
      <c r="CY137" s="43"/>
      <c r="CZ137" s="43"/>
      <c r="DA137" s="43">
        <v>1330</v>
      </c>
      <c r="DB137" s="43">
        <v>87</v>
      </c>
      <c r="DC137" s="43">
        <v>1313.49</v>
      </c>
      <c r="DD137" s="43">
        <v>87</v>
      </c>
      <c r="DE137" s="43">
        <v>16.509999999999991</v>
      </c>
      <c r="DF137" s="43">
        <v>0</v>
      </c>
      <c r="DG137" s="43">
        <v>568.25</v>
      </c>
      <c r="DH137" s="43">
        <v>31.25</v>
      </c>
      <c r="DI137" s="43">
        <v>551.74</v>
      </c>
      <c r="DJ137" s="43">
        <v>31.25</v>
      </c>
      <c r="DK137" s="43"/>
      <c r="DL137" s="43">
        <v>128.75</v>
      </c>
      <c r="DM137" s="43">
        <f t="shared" si="385"/>
        <v>1881.74</v>
      </c>
      <c r="DN137" s="43">
        <f t="shared" si="385"/>
        <v>247</v>
      </c>
      <c r="DO137" s="104">
        <v>1845.44</v>
      </c>
      <c r="DP137" s="95">
        <v>116.06</v>
      </c>
      <c r="DQ137" s="60">
        <f t="shared" si="386"/>
        <v>36.299999999999997</v>
      </c>
      <c r="DR137" s="60">
        <f t="shared" si="386"/>
        <v>130.94</v>
      </c>
      <c r="DS137" s="60">
        <f t="shared" si="387"/>
        <v>184.54400000000001</v>
      </c>
      <c r="DT137" s="60">
        <f t="shared" si="387"/>
        <v>11.606</v>
      </c>
      <c r="DU137" s="60">
        <f t="shared" si="388"/>
        <v>148.24400000000003</v>
      </c>
      <c r="DV137" s="60">
        <f t="shared" si="388"/>
        <v>-119.334</v>
      </c>
      <c r="DW137" s="60"/>
      <c r="DX137" s="60"/>
      <c r="DY137" s="60">
        <f t="shared" si="389"/>
        <v>148.24</v>
      </c>
      <c r="DZ137" s="60">
        <v>0</v>
      </c>
      <c r="EA137" s="60"/>
      <c r="EB137" s="60"/>
      <c r="EC137" s="43">
        <f t="shared" si="390"/>
        <v>2029.98</v>
      </c>
      <c r="ED137" s="43">
        <f t="shared" si="390"/>
        <v>247</v>
      </c>
      <c r="EE137" s="43">
        <v>2023.66</v>
      </c>
      <c r="EF137" s="43">
        <v>145.22999999999999</v>
      </c>
      <c r="EG137" s="43">
        <f t="shared" si="245"/>
        <v>99.69</v>
      </c>
      <c r="EH137" s="43">
        <f t="shared" si="245"/>
        <v>58.8</v>
      </c>
      <c r="EI137" s="43">
        <f t="shared" si="391"/>
        <v>6.32</v>
      </c>
      <c r="EJ137" s="43">
        <f t="shared" si="391"/>
        <v>101.77</v>
      </c>
      <c r="EK137" s="43">
        <f t="shared" si="392"/>
        <v>183.97</v>
      </c>
      <c r="EL137" s="43">
        <f t="shared" si="392"/>
        <v>13.2</v>
      </c>
      <c r="EM137" s="43">
        <f t="shared" si="393"/>
        <v>177.65</v>
      </c>
      <c r="EN137" s="43">
        <f t="shared" si="393"/>
        <v>-88.57</v>
      </c>
      <c r="EO137" s="43">
        <v>166</v>
      </c>
      <c r="EP137" s="43">
        <v>0</v>
      </c>
      <c r="EQ137" s="5"/>
      <c r="ER137" s="5"/>
      <c r="ES137" s="5"/>
      <c r="ET137" s="5"/>
      <c r="EU137" s="5">
        <f t="shared" si="270"/>
        <v>77.019999999999982</v>
      </c>
      <c r="EV137" s="5">
        <f t="shared" si="270"/>
        <v>73</v>
      </c>
      <c r="EW137" s="5">
        <v>2273</v>
      </c>
      <c r="EX137" s="5">
        <v>320</v>
      </c>
      <c r="EY137" s="5">
        <v>2650</v>
      </c>
      <c r="EZ137" s="5">
        <v>460</v>
      </c>
    </row>
    <row r="138" spans="1:163" ht="18.75" x14ac:dyDescent="0.25">
      <c r="A138" s="37">
        <v>3</v>
      </c>
      <c r="B138" s="37"/>
      <c r="C138" s="91" t="s">
        <v>218</v>
      </c>
      <c r="D138" s="38" t="s">
        <v>329</v>
      </c>
      <c r="E138" s="39"/>
      <c r="F138" s="40">
        <v>52.110000000000007</v>
      </c>
      <c r="G138" s="40">
        <v>0</v>
      </c>
      <c r="H138" s="40">
        <v>52.110000000000007</v>
      </c>
      <c r="I138" s="40">
        <v>0</v>
      </c>
      <c r="J138" s="41">
        <v>72</v>
      </c>
      <c r="K138" s="41">
        <v>0</v>
      </c>
      <c r="L138" s="41">
        <v>0</v>
      </c>
      <c r="M138" s="41">
        <f t="shared" si="367"/>
        <v>72</v>
      </c>
      <c r="N138" s="41">
        <v>0</v>
      </c>
      <c r="O138" s="41">
        <v>0</v>
      </c>
      <c r="P138" s="41">
        <v>0</v>
      </c>
      <c r="Q138" s="41">
        <f t="shared" si="368"/>
        <v>0</v>
      </c>
      <c r="R138" s="41">
        <f t="shared" si="369"/>
        <v>72</v>
      </c>
      <c r="S138" s="41">
        <v>0</v>
      </c>
      <c r="T138" s="92"/>
      <c r="U138" s="92"/>
      <c r="V138" s="40">
        <f t="shared" si="370"/>
        <v>55.15</v>
      </c>
      <c r="W138" s="40">
        <f t="shared" si="371"/>
        <v>0</v>
      </c>
      <c r="X138" s="43">
        <f t="shared" si="352"/>
        <v>16.850000000000001</v>
      </c>
      <c r="Y138" s="43">
        <f t="shared" si="352"/>
        <v>0</v>
      </c>
      <c r="Z138" s="43">
        <v>55.15</v>
      </c>
      <c r="AA138" s="43"/>
      <c r="AB138" s="43">
        <f t="shared" si="360"/>
        <v>55.15</v>
      </c>
      <c r="AC138" s="43">
        <f t="shared" si="361"/>
        <v>0</v>
      </c>
      <c r="AD138" s="43">
        <f t="shared" si="372"/>
        <v>55.15</v>
      </c>
      <c r="AE138" s="43">
        <f t="shared" si="372"/>
        <v>0</v>
      </c>
      <c r="AF138" s="43">
        <f t="shared" si="373"/>
        <v>0</v>
      </c>
      <c r="AG138" s="43">
        <f t="shared" si="353"/>
        <v>14</v>
      </c>
      <c r="AH138" s="43">
        <f t="shared" si="353"/>
        <v>0</v>
      </c>
      <c r="AI138" s="93">
        <f t="shared" si="354"/>
        <v>5</v>
      </c>
      <c r="AJ138" s="43">
        <f t="shared" si="354"/>
        <v>0</v>
      </c>
      <c r="AK138" s="43"/>
      <c r="AL138" s="43"/>
      <c r="AM138" s="43">
        <f t="shared" si="374"/>
        <v>13.79</v>
      </c>
      <c r="AN138" s="43">
        <f t="shared" si="375"/>
        <v>0</v>
      </c>
      <c r="AO138" s="43"/>
      <c r="AP138" s="43"/>
      <c r="AQ138" s="43">
        <f t="shared" si="355"/>
        <v>27.79</v>
      </c>
      <c r="AR138" s="43">
        <f t="shared" si="355"/>
        <v>0</v>
      </c>
      <c r="AS138" s="43"/>
      <c r="AT138" s="43"/>
      <c r="AU138" s="43">
        <f t="shared" si="260"/>
        <v>13.79</v>
      </c>
      <c r="AV138" s="43">
        <f t="shared" si="260"/>
        <v>0</v>
      </c>
      <c r="AW138" s="43"/>
      <c r="AX138" s="43"/>
      <c r="AY138" s="43">
        <f t="shared" si="349"/>
        <v>46.58</v>
      </c>
      <c r="AZ138" s="43">
        <f t="shared" si="349"/>
        <v>0</v>
      </c>
      <c r="BA138" s="43">
        <f t="shared" si="356"/>
        <v>46.58</v>
      </c>
      <c r="BB138" s="60">
        <v>30</v>
      </c>
      <c r="BC138" s="60"/>
      <c r="BD138" s="60">
        <f t="shared" si="350"/>
        <v>16.579999999999998</v>
      </c>
      <c r="BE138" s="60">
        <f t="shared" si="350"/>
        <v>0</v>
      </c>
      <c r="BF138" s="60">
        <f t="shared" si="351"/>
        <v>6</v>
      </c>
      <c r="BG138" s="60">
        <f t="shared" si="351"/>
        <v>0</v>
      </c>
      <c r="BH138" s="43">
        <v>0.79</v>
      </c>
      <c r="BI138" s="43">
        <v>0</v>
      </c>
      <c r="BJ138" s="43"/>
      <c r="BK138" s="43"/>
      <c r="BL138" s="43">
        <f t="shared" si="358"/>
        <v>47.37</v>
      </c>
      <c r="BM138" s="43">
        <f t="shared" si="358"/>
        <v>0</v>
      </c>
      <c r="BN138" s="43">
        <f t="shared" si="376"/>
        <v>47.37</v>
      </c>
      <c r="BO138" s="43">
        <v>30</v>
      </c>
      <c r="BP138" s="93"/>
      <c r="BQ138" s="43">
        <f t="shared" si="377"/>
        <v>17.369999999999997</v>
      </c>
      <c r="BR138" s="43">
        <f t="shared" si="377"/>
        <v>0</v>
      </c>
      <c r="BS138" s="43">
        <f t="shared" si="378"/>
        <v>2.73</v>
      </c>
      <c r="BT138" s="43">
        <f t="shared" si="378"/>
        <v>0</v>
      </c>
      <c r="BU138" s="43">
        <v>0.78</v>
      </c>
      <c r="BV138" s="43">
        <v>0</v>
      </c>
      <c r="BW138" s="43"/>
      <c r="BX138" s="43"/>
      <c r="BY138" s="43"/>
      <c r="BZ138" s="43"/>
      <c r="CA138" s="43">
        <v>48.15</v>
      </c>
      <c r="CB138" s="43">
        <v>0</v>
      </c>
      <c r="CC138" s="92">
        <v>52.97</v>
      </c>
      <c r="CD138" s="92">
        <v>0</v>
      </c>
      <c r="CE138" s="92">
        <v>4</v>
      </c>
      <c r="CF138" s="92">
        <v>0</v>
      </c>
      <c r="CG138" s="92">
        <f t="shared" si="379"/>
        <v>12.04</v>
      </c>
      <c r="CH138" s="92">
        <f t="shared" si="379"/>
        <v>0</v>
      </c>
      <c r="CI138" s="43"/>
      <c r="CJ138" s="43"/>
      <c r="CK138" s="43">
        <v>0</v>
      </c>
      <c r="CL138" s="43">
        <v>0</v>
      </c>
      <c r="CM138" s="43"/>
      <c r="CN138" s="43"/>
      <c r="CO138" s="43"/>
      <c r="CP138" s="43"/>
      <c r="CQ138" s="43">
        <f t="shared" si="380"/>
        <v>0</v>
      </c>
      <c r="CR138" s="43">
        <f t="shared" si="380"/>
        <v>0</v>
      </c>
      <c r="CS138" s="43">
        <f>IF(CO138&lt;CQ138,CO138,CQ138)+4</f>
        <v>4</v>
      </c>
      <c r="CT138" s="43">
        <f t="shared" si="381"/>
        <v>0</v>
      </c>
      <c r="CU138" s="43">
        <f>IF(CQ138&lt;CS138,CQ138,CS138)+4</f>
        <v>4</v>
      </c>
      <c r="CV138" s="43">
        <f t="shared" ref="CV138" si="394">IF(CR138&lt;CT138,CR138,CT138)</f>
        <v>0</v>
      </c>
      <c r="CW138" s="43">
        <f>ROUND(CU138*25%,2)-1</f>
        <v>0</v>
      </c>
      <c r="CX138" s="43">
        <f t="shared" si="382"/>
        <v>0</v>
      </c>
      <c r="CY138" s="43"/>
      <c r="CZ138" s="43"/>
      <c r="DA138" s="43">
        <f t="shared" si="383"/>
        <v>4</v>
      </c>
      <c r="DB138" s="43">
        <f t="shared" si="383"/>
        <v>0</v>
      </c>
      <c r="DC138" s="43">
        <v>0</v>
      </c>
      <c r="DD138" s="43">
        <v>0</v>
      </c>
      <c r="DE138" s="43">
        <f t="shared" si="384"/>
        <v>4</v>
      </c>
      <c r="DF138" s="43">
        <f t="shared" si="384"/>
        <v>0</v>
      </c>
      <c r="DG138" s="43">
        <f>ROUND(0.25*(MIN(CU138,EW138)),2)</f>
        <v>1</v>
      </c>
      <c r="DH138" s="43">
        <f>ROUND(0.25*(MIN(CV138,EX138)),2)</f>
        <v>0</v>
      </c>
      <c r="DI138" s="43">
        <f>+DG138-DE138+3</f>
        <v>0</v>
      </c>
      <c r="DJ138" s="43">
        <f>+DH138-DF138</f>
        <v>0</v>
      </c>
      <c r="DK138" s="43"/>
      <c r="DL138" s="43"/>
      <c r="DM138" s="43">
        <f t="shared" si="385"/>
        <v>4</v>
      </c>
      <c r="DN138" s="43">
        <f t="shared" si="385"/>
        <v>0</v>
      </c>
      <c r="DO138" s="94">
        <v>0</v>
      </c>
      <c r="DP138" s="95">
        <v>0</v>
      </c>
      <c r="DQ138" s="60">
        <f t="shared" si="386"/>
        <v>4</v>
      </c>
      <c r="DR138" s="60">
        <f t="shared" si="386"/>
        <v>0</v>
      </c>
      <c r="DS138" s="60">
        <f t="shared" si="387"/>
        <v>0</v>
      </c>
      <c r="DT138" s="60">
        <f t="shared" si="387"/>
        <v>0</v>
      </c>
      <c r="DU138" s="60">
        <f t="shared" si="388"/>
        <v>-4</v>
      </c>
      <c r="DV138" s="60">
        <f t="shared" si="388"/>
        <v>0</v>
      </c>
      <c r="DW138" s="60"/>
      <c r="DX138" s="60"/>
      <c r="DY138" s="60">
        <v>0</v>
      </c>
      <c r="DZ138" s="60">
        <f t="shared" si="389"/>
        <v>0</v>
      </c>
      <c r="EA138" s="60"/>
      <c r="EB138" s="60"/>
      <c r="EC138" s="43">
        <f t="shared" si="390"/>
        <v>4</v>
      </c>
      <c r="ED138" s="43">
        <f t="shared" si="390"/>
        <v>0</v>
      </c>
      <c r="EE138" s="43">
        <v>0</v>
      </c>
      <c r="EF138" s="43">
        <v>0</v>
      </c>
      <c r="EG138" s="43">
        <f t="shared" si="245"/>
        <v>0</v>
      </c>
      <c r="EH138" s="43" t="e">
        <f t="shared" si="245"/>
        <v>#DIV/0!</v>
      </c>
      <c r="EI138" s="43">
        <f t="shared" si="391"/>
        <v>4</v>
      </c>
      <c r="EJ138" s="43">
        <f t="shared" si="391"/>
        <v>0</v>
      </c>
      <c r="EK138" s="43">
        <f t="shared" si="392"/>
        <v>0</v>
      </c>
      <c r="EL138" s="43">
        <f t="shared" si="392"/>
        <v>0</v>
      </c>
      <c r="EM138" s="43">
        <f t="shared" si="393"/>
        <v>-4</v>
      </c>
      <c r="EN138" s="43">
        <f t="shared" si="393"/>
        <v>0</v>
      </c>
      <c r="EO138" s="43">
        <v>0</v>
      </c>
      <c r="EP138" s="43">
        <v>0</v>
      </c>
      <c r="EQ138" s="5"/>
      <c r="ER138" s="5"/>
      <c r="ES138" s="5"/>
      <c r="ET138" s="5"/>
      <c r="EU138" s="5">
        <f t="shared" si="270"/>
        <v>0</v>
      </c>
      <c r="EV138" s="5">
        <f t="shared" si="270"/>
        <v>0</v>
      </c>
      <c r="EW138" s="55">
        <f>0+4</f>
        <v>4</v>
      </c>
      <c r="EX138" s="5">
        <v>0</v>
      </c>
      <c r="EY138" s="5">
        <v>0</v>
      </c>
      <c r="EZ138" s="5">
        <v>0</v>
      </c>
    </row>
    <row r="139" spans="1:163" ht="18.75" x14ac:dyDescent="0.25">
      <c r="A139" s="68"/>
      <c r="B139" s="68" t="s">
        <v>330</v>
      </c>
      <c r="C139" s="91" t="s">
        <v>218</v>
      </c>
      <c r="D139" s="67" t="s">
        <v>328</v>
      </c>
      <c r="E139" s="69" t="s">
        <v>331</v>
      </c>
      <c r="F139" s="70">
        <v>2136.19</v>
      </c>
      <c r="G139" s="70">
        <v>179.38000000000002</v>
      </c>
      <c r="H139" s="70">
        <v>2136.19</v>
      </c>
      <c r="I139" s="70">
        <v>179.38000000000002</v>
      </c>
      <c r="J139" s="71">
        <f t="shared" ref="J139:AA139" si="395">+J137+J138</f>
        <v>1922</v>
      </c>
      <c r="K139" s="71">
        <f t="shared" si="395"/>
        <v>430</v>
      </c>
      <c r="L139" s="71">
        <f t="shared" si="395"/>
        <v>0</v>
      </c>
      <c r="M139" s="71">
        <f t="shared" si="395"/>
        <v>2352</v>
      </c>
      <c r="N139" s="71">
        <f t="shared" si="395"/>
        <v>0</v>
      </c>
      <c r="O139" s="71">
        <f t="shared" si="395"/>
        <v>0</v>
      </c>
      <c r="P139" s="71">
        <f t="shared" si="395"/>
        <v>0</v>
      </c>
      <c r="Q139" s="71">
        <f t="shared" si="395"/>
        <v>0</v>
      </c>
      <c r="R139" s="71">
        <f t="shared" si="395"/>
        <v>2352</v>
      </c>
      <c r="S139" s="71">
        <f t="shared" si="395"/>
        <v>325</v>
      </c>
      <c r="T139" s="71">
        <f t="shared" si="395"/>
        <v>0</v>
      </c>
      <c r="U139" s="71">
        <f t="shared" si="395"/>
        <v>0</v>
      </c>
      <c r="V139" s="71">
        <f t="shared" si="395"/>
        <v>2260.73</v>
      </c>
      <c r="W139" s="71">
        <f t="shared" si="395"/>
        <v>185.25</v>
      </c>
      <c r="X139" s="71">
        <f t="shared" si="395"/>
        <v>91.270000000000067</v>
      </c>
      <c r="Y139" s="71">
        <f t="shared" si="395"/>
        <v>139.75</v>
      </c>
      <c r="Z139" s="71">
        <f t="shared" si="395"/>
        <v>2260.73</v>
      </c>
      <c r="AA139" s="71">
        <f t="shared" si="395"/>
        <v>0</v>
      </c>
      <c r="AB139" s="70">
        <f t="shared" si="360"/>
        <v>2260.73</v>
      </c>
      <c r="AC139" s="43">
        <f t="shared" si="361"/>
        <v>0</v>
      </c>
      <c r="AD139" s="70">
        <f t="shared" ref="AD139:CQ139" si="396">+AD137+AD138</f>
        <v>2260.73</v>
      </c>
      <c r="AE139" s="70">
        <f t="shared" si="396"/>
        <v>185.25</v>
      </c>
      <c r="AF139" s="70">
        <f t="shared" si="396"/>
        <v>293.22000000000003</v>
      </c>
      <c r="AG139" s="70">
        <f t="shared" si="396"/>
        <v>565</v>
      </c>
      <c r="AH139" s="70">
        <f t="shared" si="396"/>
        <v>60</v>
      </c>
      <c r="AI139" s="96">
        <f t="shared" si="396"/>
        <v>189</v>
      </c>
      <c r="AJ139" s="70">
        <f t="shared" si="396"/>
        <v>15</v>
      </c>
      <c r="AK139" s="70">
        <f t="shared" si="396"/>
        <v>0</v>
      </c>
      <c r="AL139" s="70">
        <f t="shared" si="396"/>
        <v>0</v>
      </c>
      <c r="AM139" s="70">
        <f t="shared" si="396"/>
        <v>565.18999999999994</v>
      </c>
      <c r="AN139" s="70">
        <f t="shared" si="396"/>
        <v>50</v>
      </c>
      <c r="AO139" s="70">
        <f t="shared" si="396"/>
        <v>0</v>
      </c>
      <c r="AP139" s="70">
        <f t="shared" si="396"/>
        <v>0</v>
      </c>
      <c r="AQ139" s="70">
        <f t="shared" si="396"/>
        <v>1130.19</v>
      </c>
      <c r="AR139" s="70">
        <f t="shared" si="396"/>
        <v>110</v>
      </c>
      <c r="AS139" s="70">
        <f t="shared" si="396"/>
        <v>0</v>
      </c>
      <c r="AT139" s="70">
        <f t="shared" si="396"/>
        <v>0</v>
      </c>
      <c r="AU139" s="70">
        <f t="shared" si="396"/>
        <v>565.18999999999994</v>
      </c>
      <c r="AV139" s="70">
        <f t="shared" si="396"/>
        <v>56.31</v>
      </c>
      <c r="AW139" s="70">
        <f t="shared" si="396"/>
        <v>0</v>
      </c>
      <c r="AX139" s="70">
        <f t="shared" si="396"/>
        <v>16.71</v>
      </c>
      <c r="AY139" s="70">
        <f t="shared" si="396"/>
        <v>1884.38</v>
      </c>
      <c r="AZ139" s="70">
        <f t="shared" si="396"/>
        <v>198.02</v>
      </c>
      <c r="BA139" s="70">
        <f t="shared" si="396"/>
        <v>2082.4</v>
      </c>
      <c r="BB139" s="70">
        <f t="shared" si="396"/>
        <v>1787.17</v>
      </c>
      <c r="BC139" s="70">
        <f t="shared" si="396"/>
        <v>179.47</v>
      </c>
      <c r="BD139" s="70">
        <f t="shared" si="396"/>
        <v>97.210000000000107</v>
      </c>
      <c r="BE139" s="70">
        <f t="shared" si="396"/>
        <v>18.550000000000011</v>
      </c>
      <c r="BF139" s="70">
        <f t="shared" si="396"/>
        <v>357.43</v>
      </c>
      <c r="BG139" s="96">
        <f t="shared" si="396"/>
        <v>35.89</v>
      </c>
      <c r="BH139" s="96">
        <f t="shared" si="396"/>
        <v>118.29</v>
      </c>
      <c r="BI139" s="96">
        <f t="shared" si="396"/>
        <v>42.5</v>
      </c>
      <c r="BJ139" s="96">
        <f t="shared" si="396"/>
        <v>0</v>
      </c>
      <c r="BK139" s="96">
        <f t="shared" si="396"/>
        <v>0</v>
      </c>
      <c r="BL139" s="96">
        <f t="shared" si="396"/>
        <v>2002.67</v>
      </c>
      <c r="BM139" s="96">
        <f t="shared" si="396"/>
        <v>240.52</v>
      </c>
      <c r="BN139" s="96">
        <f t="shared" si="396"/>
        <v>2243.19</v>
      </c>
      <c r="BO139" s="96">
        <f t="shared" si="396"/>
        <v>1954.37</v>
      </c>
      <c r="BP139" s="96">
        <f t="shared" si="396"/>
        <v>225.43</v>
      </c>
      <c r="BQ139" s="70">
        <f t="shared" si="396"/>
        <v>48.300000000000288</v>
      </c>
      <c r="BR139" s="70">
        <f t="shared" si="396"/>
        <v>15.090000000000003</v>
      </c>
      <c r="BS139" s="70">
        <f t="shared" si="396"/>
        <v>177.67</v>
      </c>
      <c r="BT139" s="70">
        <f t="shared" si="396"/>
        <v>20.49</v>
      </c>
      <c r="BU139" s="70">
        <f t="shared" si="396"/>
        <v>118.28</v>
      </c>
      <c r="BV139" s="70">
        <f t="shared" si="396"/>
        <v>20</v>
      </c>
      <c r="BW139" s="70">
        <f t="shared" si="396"/>
        <v>0</v>
      </c>
      <c r="BX139" s="70">
        <f t="shared" si="396"/>
        <v>22.5</v>
      </c>
      <c r="BY139" s="70">
        <f t="shared" si="396"/>
        <v>0</v>
      </c>
      <c r="BZ139" s="70">
        <f t="shared" si="396"/>
        <v>0</v>
      </c>
      <c r="CA139" s="70">
        <f t="shared" si="396"/>
        <v>2120.9500000000003</v>
      </c>
      <c r="CB139" s="70">
        <f t="shared" si="396"/>
        <v>283.02</v>
      </c>
      <c r="CC139" s="70">
        <f t="shared" si="396"/>
        <v>2333.0499999999997</v>
      </c>
      <c r="CD139" s="70">
        <f t="shared" si="396"/>
        <v>325.47000000000003</v>
      </c>
      <c r="CE139" s="70">
        <f t="shared" si="396"/>
        <v>194</v>
      </c>
      <c r="CF139" s="70">
        <f t="shared" si="396"/>
        <v>27</v>
      </c>
      <c r="CG139" s="70">
        <f t="shared" si="396"/>
        <v>530.24</v>
      </c>
      <c r="CH139" s="96">
        <f t="shared" si="396"/>
        <v>70.760000000000005</v>
      </c>
      <c r="CI139" s="70">
        <f t="shared" si="396"/>
        <v>0</v>
      </c>
      <c r="CJ139" s="70">
        <f t="shared" si="396"/>
        <v>0</v>
      </c>
      <c r="CK139" s="70">
        <f t="shared" si="396"/>
        <v>570</v>
      </c>
      <c r="CL139" s="70">
        <f t="shared" si="396"/>
        <v>60</v>
      </c>
      <c r="CM139" s="70">
        <f t="shared" si="396"/>
        <v>0</v>
      </c>
      <c r="CN139" s="70">
        <f t="shared" si="396"/>
        <v>0</v>
      </c>
      <c r="CO139" s="70">
        <f t="shared" si="396"/>
        <v>2432.54</v>
      </c>
      <c r="CP139" s="70">
        <f t="shared" si="396"/>
        <v>125</v>
      </c>
      <c r="CQ139" s="70">
        <f t="shared" si="396"/>
        <v>2280</v>
      </c>
      <c r="CR139" s="70">
        <f t="shared" ref="CR139:EZ139" si="397">+CR137+CR138</f>
        <v>240</v>
      </c>
      <c r="CS139" s="70">
        <f t="shared" si="397"/>
        <v>2284</v>
      </c>
      <c r="CT139" s="70">
        <f t="shared" si="397"/>
        <v>125</v>
      </c>
      <c r="CU139" s="70">
        <f t="shared" si="397"/>
        <v>2284</v>
      </c>
      <c r="CV139" s="70">
        <f t="shared" si="397"/>
        <v>247</v>
      </c>
      <c r="CW139" s="70">
        <f t="shared" si="397"/>
        <v>570</v>
      </c>
      <c r="CX139" s="70">
        <f t="shared" si="397"/>
        <v>0</v>
      </c>
      <c r="CY139" s="70">
        <f t="shared" si="397"/>
        <v>0</v>
      </c>
      <c r="CZ139" s="70">
        <f t="shared" si="397"/>
        <v>0</v>
      </c>
      <c r="DA139" s="70">
        <f t="shared" si="397"/>
        <v>1334</v>
      </c>
      <c r="DB139" s="70">
        <f t="shared" si="397"/>
        <v>87</v>
      </c>
      <c r="DC139" s="70">
        <f t="shared" si="397"/>
        <v>1313.49</v>
      </c>
      <c r="DD139" s="70">
        <f t="shared" si="397"/>
        <v>87</v>
      </c>
      <c r="DE139" s="70">
        <f t="shared" si="397"/>
        <v>20.509999999999991</v>
      </c>
      <c r="DF139" s="70">
        <f t="shared" si="397"/>
        <v>0</v>
      </c>
      <c r="DG139" s="70">
        <f t="shared" si="397"/>
        <v>569.25</v>
      </c>
      <c r="DH139" s="70">
        <f t="shared" si="397"/>
        <v>31.25</v>
      </c>
      <c r="DI139" s="70">
        <f t="shared" si="397"/>
        <v>551.74</v>
      </c>
      <c r="DJ139" s="70">
        <f t="shared" si="397"/>
        <v>31.25</v>
      </c>
      <c r="DK139" s="70">
        <f t="shared" si="397"/>
        <v>0</v>
      </c>
      <c r="DL139" s="70">
        <f t="shared" si="397"/>
        <v>128.75</v>
      </c>
      <c r="DM139" s="70">
        <f t="shared" si="397"/>
        <v>1885.74</v>
      </c>
      <c r="DN139" s="70">
        <f t="shared" si="397"/>
        <v>247</v>
      </c>
      <c r="DO139" s="70">
        <f t="shared" si="397"/>
        <v>1845.44</v>
      </c>
      <c r="DP139" s="70">
        <f t="shared" si="397"/>
        <v>116.06</v>
      </c>
      <c r="DQ139" s="70">
        <f t="shared" si="397"/>
        <v>40.299999999999997</v>
      </c>
      <c r="DR139" s="70">
        <f t="shared" si="397"/>
        <v>130.94</v>
      </c>
      <c r="DS139" s="70">
        <f t="shared" si="397"/>
        <v>184.54400000000001</v>
      </c>
      <c r="DT139" s="70">
        <f t="shared" si="397"/>
        <v>11.606</v>
      </c>
      <c r="DU139" s="70">
        <f t="shared" si="397"/>
        <v>144.24400000000003</v>
      </c>
      <c r="DV139" s="70">
        <f t="shared" si="397"/>
        <v>-119.334</v>
      </c>
      <c r="DW139" s="70">
        <f t="shared" si="397"/>
        <v>0</v>
      </c>
      <c r="DX139" s="70">
        <f t="shared" si="397"/>
        <v>0</v>
      </c>
      <c r="DY139" s="70">
        <f t="shared" si="397"/>
        <v>148.24</v>
      </c>
      <c r="DZ139" s="70">
        <f t="shared" si="397"/>
        <v>0</v>
      </c>
      <c r="EA139" s="70">
        <f t="shared" si="397"/>
        <v>0</v>
      </c>
      <c r="EB139" s="96">
        <f t="shared" si="397"/>
        <v>0</v>
      </c>
      <c r="EC139" s="70">
        <f t="shared" si="397"/>
        <v>2033.98</v>
      </c>
      <c r="ED139" s="70">
        <f t="shared" si="397"/>
        <v>247</v>
      </c>
      <c r="EE139" s="70">
        <f t="shared" si="397"/>
        <v>2023.66</v>
      </c>
      <c r="EF139" s="70">
        <f t="shared" si="397"/>
        <v>145.22999999999999</v>
      </c>
      <c r="EG139" s="70">
        <f t="shared" si="397"/>
        <v>99.69</v>
      </c>
      <c r="EH139" s="70" t="e">
        <f t="shared" si="397"/>
        <v>#DIV/0!</v>
      </c>
      <c r="EI139" s="70">
        <f t="shared" si="397"/>
        <v>10.32</v>
      </c>
      <c r="EJ139" s="70">
        <f t="shared" si="397"/>
        <v>101.77</v>
      </c>
      <c r="EK139" s="70">
        <f t="shared" si="397"/>
        <v>183.97</v>
      </c>
      <c r="EL139" s="70">
        <f t="shared" si="397"/>
        <v>13.2</v>
      </c>
      <c r="EM139" s="70">
        <f t="shared" si="397"/>
        <v>173.65</v>
      </c>
      <c r="EN139" s="70">
        <f t="shared" si="397"/>
        <v>-88.57</v>
      </c>
      <c r="EO139" s="70">
        <f t="shared" si="397"/>
        <v>166</v>
      </c>
      <c r="EP139" s="70">
        <f t="shared" si="397"/>
        <v>0</v>
      </c>
      <c r="EQ139" s="66">
        <f t="shared" si="397"/>
        <v>0</v>
      </c>
      <c r="ER139" s="46">
        <f t="shared" si="397"/>
        <v>0</v>
      </c>
      <c r="ES139" s="46">
        <f t="shared" si="397"/>
        <v>0</v>
      </c>
      <c r="ET139" s="46">
        <f t="shared" si="397"/>
        <v>0</v>
      </c>
      <c r="EU139" s="5">
        <f t="shared" si="270"/>
        <v>77.019999999999982</v>
      </c>
      <c r="EV139" s="5">
        <f t="shared" si="270"/>
        <v>73</v>
      </c>
      <c r="EW139" s="46">
        <f t="shared" si="397"/>
        <v>2277</v>
      </c>
      <c r="EX139" s="46">
        <f t="shared" si="397"/>
        <v>320</v>
      </c>
      <c r="EY139" s="46">
        <f t="shared" si="397"/>
        <v>2650</v>
      </c>
      <c r="EZ139" s="46">
        <f t="shared" si="397"/>
        <v>460</v>
      </c>
    </row>
    <row r="140" spans="1:163" ht="18.75" x14ac:dyDescent="0.25">
      <c r="A140" s="37">
        <v>4</v>
      </c>
      <c r="B140" s="37"/>
      <c r="C140" s="91" t="s">
        <v>136</v>
      </c>
      <c r="D140" s="38" t="s">
        <v>332</v>
      </c>
      <c r="E140" s="39"/>
      <c r="F140" s="40">
        <v>2025.0000000000005</v>
      </c>
      <c r="G140" s="40">
        <v>742</v>
      </c>
      <c r="H140" s="40">
        <v>2025.0000000000005</v>
      </c>
      <c r="I140" s="40">
        <v>742</v>
      </c>
      <c r="J140" s="41">
        <v>2250</v>
      </c>
      <c r="K140" s="41">
        <v>500</v>
      </c>
      <c r="L140" s="41">
        <v>0.2</v>
      </c>
      <c r="M140" s="41">
        <f t="shared" si="367"/>
        <v>2750.2</v>
      </c>
      <c r="N140" s="41">
        <v>0</v>
      </c>
      <c r="O140" s="41">
        <v>0</v>
      </c>
      <c r="P140" s="41">
        <v>0</v>
      </c>
      <c r="Q140" s="41">
        <f t="shared" ref="Q140:Q141" si="398">N140+O140+P140</f>
        <v>0</v>
      </c>
      <c r="R140" s="41">
        <f t="shared" si="369"/>
        <v>2750.2</v>
      </c>
      <c r="S140" s="41">
        <v>750</v>
      </c>
      <c r="T140" s="92"/>
      <c r="U140" s="92"/>
      <c r="V140" s="40">
        <f t="shared" ref="V140:V141" si="399">ROUND(H140*1.0583,2)</f>
        <v>2143.06</v>
      </c>
      <c r="W140" s="40">
        <f t="shared" ref="W140:W141" si="400">ROUND(I140*1.0327,2)</f>
        <v>766.26</v>
      </c>
      <c r="X140" s="43">
        <f t="shared" si="352"/>
        <v>607.13999999999987</v>
      </c>
      <c r="Y140" s="43">
        <f t="shared" si="352"/>
        <v>-16.259999999999991</v>
      </c>
      <c r="Z140" s="43">
        <v>2143.06</v>
      </c>
      <c r="AA140" s="43"/>
      <c r="AB140" s="43">
        <f t="shared" si="360"/>
        <v>2143.06</v>
      </c>
      <c r="AC140" s="43">
        <f t="shared" si="361"/>
        <v>0</v>
      </c>
      <c r="AD140" s="43">
        <f t="shared" ref="AD140:AE141" si="401">IF(X140&gt;0,V140,R140)</f>
        <v>2143.06</v>
      </c>
      <c r="AE140" s="43">
        <f t="shared" si="401"/>
        <v>750</v>
      </c>
      <c r="AF140" s="43">
        <f t="shared" si="373"/>
        <v>676.65</v>
      </c>
      <c r="AG140" s="43">
        <f t="shared" si="353"/>
        <v>536</v>
      </c>
      <c r="AH140" s="43">
        <f t="shared" si="353"/>
        <v>188</v>
      </c>
      <c r="AI140" s="93">
        <f t="shared" si="354"/>
        <v>179</v>
      </c>
      <c r="AJ140" s="43">
        <f t="shared" si="354"/>
        <v>63</v>
      </c>
      <c r="AK140" s="43"/>
      <c r="AL140" s="43"/>
      <c r="AM140" s="43">
        <f t="shared" si="374"/>
        <v>535.77</v>
      </c>
      <c r="AN140" s="43">
        <f t="shared" si="375"/>
        <v>182.63</v>
      </c>
      <c r="AO140" s="43"/>
      <c r="AP140" s="43"/>
      <c r="AQ140" s="43">
        <f t="shared" si="355"/>
        <v>1071.77</v>
      </c>
      <c r="AR140" s="43">
        <f t="shared" si="355"/>
        <v>370.63</v>
      </c>
      <c r="AS140" s="43"/>
      <c r="AT140" s="43"/>
      <c r="AU140" s="43">
        <f t="shared" si="260"/>
        <v>535.77</v>
      </c>
      <c r="AV140" s="43">
        <f t="shared" si="260"/>
        <v>187.5</v>
      </c>
      <c r="AW140" s="43"/>
      <c r="AX140" s="43"/>
      <c r="AY140" s="43">
        <f t="shared" si="349"/>
        <v>1786.54</v>
      </c>
      <c r="AZ140" s="43">
        <f t="shared" si="349"/>
        <v>621.13</v>
      </c>
      <c r="BA140" s="43">
        <f t="shared" si="356"/>
        <v>2407.67</v>
      </c>
      <c r="BB140" s="60">
        <v>1639.04</v>
      </c>
      <c r="BC140" s="60">
        <v>439.03</v>
      </c>
      <c r="BD140" s="60">
        <f t="shared" si="350"/>
        <v>147.5</v>
      </c>
      <c r="BE140" s="60">
        <f t="shared" si="350"/>
        <v>182.10000000000002</v>
      </c>
      <c r="BF140" s="60">
        <f t="shared" si="351"/>
        <v>327.81</v>
      </c>
      <c r="BG140" s="60">
        <f t="shared" si="351"/>
        <v>87.81</v>
      </c>
      <c r="BH140" s="43">
        <v>90.16</v>
      </c>
      <c r="BI140" s="43">
        <v>0</v>
      </c>
      <c r="BJ140" s="43"/>
      <c r="BK140" s="43"/>
      <c r="BL140" s="43">
        <f t="shared" si="358"/>
        <v>1876.7</v>
      </c>
      <c r="BM140" s="43">
        <f t="shared" si="358"/>
        <v>621.13</v>
      </c>
      <c r="BN140" s="43">
        <f t="shared" si="376"/>
        <v>2497.83</v>
      </c>
      <c r="BO140" s="43">
        <v>1812.14</v>
      </c>
      <c r="BP140" s="93">
        <v>493.28</v>
      </c>
      <c r="BQ140" s="43">
        <f t="shared" si="377"/>
        <v>64.559999999999945</v>
      </c>
      <c r="BR140" s="43">
        <f t="shared" si="377"/>
        <v>127.85000000000002</v>
      </c>
      <c r="BS140" s="43">
        <f t="shared" si="378"/>
        <v>164.74</v>
      </c>
      <c r="BT140" s="43">
        <f t="shared" si="378"/>
        <v>44.84</v>
      </c>
      <c r="BU140" s="43">
        <f t="shared" ref="BU140:BU145" si="402">ROUND(BS140-BQ140,2)</f>
        <v>100.18</v>
      </c>
      <c r="BV140" s="43">
        <v>0</v>
      </c>
      <c r="BW140" s="43">
        <v>25</v>
      </c>
      <c r="BX140" s="43">
        <f>60+10</f>
        <v>70</v>
      </c>
      <c r="BY140" s="43"/>
      <c r="BZ140" s="43"/>
      <c r="CA140" s="43">
        <v>2001.88</v>
      </c>
      <c r="CB140" s="43">
        <v>691.13</v>
      </c>
      <c r="CC140" s="92">
        <v>2202.0700000000002</v>
      </c>
      <c r="CD140" s="92">
        <v>794.8</v>
      </c>
      <c r="CE140" s="92">
        <v>184</v>
      </c>
      <c r="CF140" s="92">
        <v>66</v>
      </c>
      <c r="CG140" s="92">
        <f t="shared" si="379"/>
        <v>500.47</v>
      </c>
      <c r="CH140" s="92">
        <f t="shared" si="379"/>
        <v>172.78</v>
      </c>
      <c r="CI140" s="43"/>
      <c r="CJ140" s="43"/>
      <c r="CK140" s="43">
        <v>525</v>
      </c>
      <c r="CL140" s="43">
        <v>80</v>
      </c>
      <c r="CM140" s="43"/>
      <c r="CN140" s="43"/>
      <c r="CO140" s="43">
        <v>2450</v>
      </c>
      <c r="CP140" s="43">
        <v>750</v>
      </c>
      <c r="CQ140" s="43">
        <f t="shared" si="380"/>
        <v>2100</v>
      </c>
      <c r="CR140" s="43">
        <f t="shared" si="380"/>
        <v>320</v>
      </c>
      <c r="CS140" s="43">
        <f t="shared" si="381"/>
        <v>2100</v>
      </c>
      <c r="CT140" s="43">
        <f t="shared" si="381"/>
        <v>320</v>
      </c>
      <c r="CU140" s="43">
        <v>2100</v>
      </c>
      <c r="CV140" s="43">
        <f>56+320+225</f>
        <v>601</v>
      </c>
      <c r="CW140" s="43">
        <f t="shared" si="382"/>
        <v>525</v>
      </c>
      <c r="CX140" s="43">
        <v>80</v>
      </c>
      <c r="CY140" s="43"/>
      <c r="CZ140" s="43">
        <v>150</v>
      </c>
      <c r="DA140" s="43">
        <v>1234</v>
      </c>
      <c r="DB140" s="43">
        <v>376</v>
      </c>
      <c r="DC140" s="43">
        <v>1213.3399999999999</v>
      </c>
      <c r="DD140" s="43">
        <v>355.62</v>
      </c>
      <c r="DE140" s="43">
        <v>20.660000000000082</v>
      </c>
      <c r="DF140" s="43">
        <v>20.379999999999995</v>
      </c>
      <c r="DG140" s="43">
        <v>512.5</v>
      </c>
      <c r="DH140" s="43">
        <v>80</v>
      </c>
      <c r="DI140" s="43">
        <v>491.83999999999992</v>
      </c>
      <c r="DJ140" s="43">
        <v>0</v>
      </c>
      <c r="DK140" s="43">
        <v>96</v>
      </c>
      <c r="DL140" s="43">
        <v>225</v>
      </c>
      <c r="DM140" s="43">
        <f t="shared" si="385"/>
        <v>1821.84</v>
      </c>
      <c r="DN140" s="43">
        <f t="shared" si="385"/>
        <v>601</v>
      </c>
      <c r="DO140" s="94">
        <v>1816.74</v>
      </c>
      <c r="DP140" s="103">
        <v>433.94</v>
      </c>
      <c r="DQ140" s="60">
        <f t="shared" si="386"/>
        <v>5.0999999999999996</v>
      </c>
      <c r="DR140" s="60">
        <f t="shared" si="386"/>
        <v>167.06</v>
      </c>
      <c r="DS140" s="60">
        <f t="shared" si="387"/>
        <v>181.67400000000001</v>
      </c>
      <c r="DT140" s="60">
        <f t="shared" si="387"/>
        <v>43.393999999999998</v>
      </c>
      <c r="DU140" s="60">
        <f t="shared" si="388"/>
        <v>176.57400000000001</v>
      </c>
      <c r="DV140" s="60">
        <f t="shared" si="388"/>
        <v>-123.666</v>
      </c>
      <c r="DW140" s="60"/>
      <c r="DX140" s="60"/>
      <c r="DY140" s="60">
        <v>200</v>
      </c>
      <c r="DZ140" s="60">
        <v>0</v>
      </c>
      <c r="EA140" s="60"/>
      <c r="EB140" s="60"/>
      <c r="EC140" s="43">
        <f t="shared" si="390"/>
        <v>2021.84</v>
      </c>
      <c r="ED140" s="43">
        <f t="shared" si="390"/>
        <v>601</v>
      </c>
      <c r="EE140" s="43">
        <v>1995.06</v>
      </c>
      <c r="EF140" s="43">
        <v>499.47</v>
      </c>
      <c r="EG140" s="43">
        <f t="shared" si="245"/>
        <v>98.68</v>
      </c>
      <c r="EH140" s="43">
        <f t="shared" si="245"/>
        <v>83.11</v>
      </c>
      <c r="EI140" s="43">
        <f t="shared" si="391"/>
        <v>26.78</v>
      </c>
      <c r="EJ140" s="43">
        <f t="shared" si="391"/>
        <v>101.53</v>
      </c>
      <c r="EK140" s="43">
        <f t="shared" si="392"/>
        <v>181.37</v>
      </c>
      <c r="EL140" s="43">
        <f t="shared" si="392"/>
        <v>45.41</v>
      </c>
      <c r="EM140" s="43">
        <f t="shared" si="393"/>
        <v>154.59</v>
      </c>
      <c r="EN140" s="43">
        <f t="shared" si="393"/>
        <v>-56.120000000000005</v>
      </c>
      <c r="EO140" s="43">
        <v>168</v>
      </c>
      <c r="EP140" s="43">
        <v>90</v>
      </c>
      <c r="EQ140" s="5"/>
      <c r="ER140" s="5"/>
      <c r="ES140" s="5"/>
      <c r="ET140" s="45">
        <v>119</v>
      </c>
      <c r="EU140" s="5">
        <f t="shared" si="270"/>
        <v>-139.83999999999992</v>
      </c>
      <c r="EV140" s="5">
        <f t="shared" si="270"/>
        <v>29</v>
      </c>
      <c r="EW140" s="5">
        <v>2050</v>
      </c>
      <c r="EX140" s="54">
        <v>720</v>
      </c>
      <c r="EY140" s="5">
        <v>2184</v>
      </c>
      <c r="EZ140" s="5">
        <v>750</v>
      </c>
      <c r="FB140" s="5">
        <v>2130</v>
      </c>
      <c r="FC140" s="5">
        <v>700</v>
      </c>
      <c r="FD140" s="5">
        <v>21.11</v>
      </c>
    </row>
    <row r="141" spans="1:163" ht="18.75" x14ac:dyDescent="0.25">
      <c r="A141" s="37">
        <v>5</v>
      </c>
      <c r="B141" s="37"/>
      <c r="C141" s="91" t="s">
        <v>136</v>
      </c>
      <c r="D141" s="38" t="s">
        <v>333</v>
      </c>
      <c r="E141" s="39"/>
      <c r="F141" s="40">
        <v>0</v>
      </c>
      <c r="G141" s="40">
        <v>0</v>
      </c>
      <c r="H141" s="40">
        <v>0</v>
      </c>
      <c r="I141" s="40">
        <v>0</v>
      </c>
      <c r="J141" s="41">
        <v>0</v>
      </c>
      <c r="K141" s="41">
        <v>0</v>
      </c>
      <c r="L141" s="41">
        <v>0</v>
      </c>
      <c r="M141" s="41">
        <f t="shared" si="367"/>
        <v>0</v>
      </c>
      <c r="N141" s="41">
        <v>0</v>
      </c>
      <c r="O141" s="41">
        <v>0</v>
      </c>
      <c r="P141" s="41">
        <v>0</v>
      </c>
      <c r="Q141" s="41">
        <f t="shared" si="398"/>
        <v>0</v>
      </c>
      <c r="R141" s="41">
        <f t="shared" si="369"/>
        <v>0</v>
      </c>
      <c r="S141" s="41">
        <v>0</v>
      </c>
      <c r="T141" s="92"/>
      <c r="U141" s="92"/>
      <c r="V141" s="40">
        <f t="shared" si="399"/>
        <v>0</v>
      </c>
      <c r="W141" s="40">
        <f t="shared" si="400"/>
        <v>0</v>
      </c>
      <c r="X141" s="43">
        <f t="shared" si="352"/>
        <v>0</v>
      </c>
      <c r="Y141" s="43">
        <f t="shared" si="352"/>
        <v>0</v>
      </c>
      <c r="Z141" s="43">
        <v>0</v>
      </c>
      <c r="AA141" s="43"/>
      <c r="AB141" s="43">
        <f t="shared" si="360"/>
        <v>0</v>
      </c>
      <c r="AC141" s="43">
        <f t="shared" si="361"/>
        <v>0</v>
      </c>
      <c r="AD141" s="43">
        <f t="shared" si="401"/>
        <v>0</v>
      </c>
      <c r="AE141" s="43">
        <f t="shared" si="401"/>
        <v>0</v>
      </c>
      <c r="AF141" s="43">
        <f t="shared" si="373"/>
        <v>0</v>
      </c>
      <c r="AG141" s="43">
        <f t="shared" si="353"/>
        <v>0</v>
      </c>
      <c r="AH141" s="43">
        <f t="shared" si="353"/>
        <v>0</v>
      </c>
      <c r="AI141" s="93">
        <f t="shared" si="354"/>
        <v>0</v>
      </c>
      <c r="AJ141" s="43">
        <f t="shared" si="354"/>
        <v>0</v>
      </c>
      <c r="AK141" s="43"/>
      <c r="AL141" s="43"/>
      <c r="AM141" s="43">
        <f t="shared" si="374"/>
        <v>0</v>
      </c>
      <c r="AN141" s="43">
        <f t="shared" si="375"/>
        <v>0</v>
      </c>
      <c r="AO141" s="43"/>
      <c r="AP141" s="43"/>
      <c r="AQ141" s="43">
        <f t="shared" si="355"/>
        <v>0</v>
      </c>
      <c r="AR141" s="43">
        <f t="shared" si="355"/>
        <v>0</v>
      </c>
      <c r="AS141" s="43"/>
      <c r="AT141" s="43"/>
      <c r="AU141" s="43">
        <f t="shared" si="260"/>
        <v>0</v>
      </c>
      <c r="AV141" s="43">
        <f t="shared" si="260"/>
        <v>0</v>
      </c>
      <c r="AW141" s="43"/>
      <c r="AX141" s="43"/>
      <c r="AY141" s="43">
        <f t="shared" si="349"/>
        <v>0</v>
      </c>
      <c r="AZ141" s="43">
        <f t="shared" si="349"/>
        <v>0</v>
      </c>
      <c r="BA141" s="43">
        <f t="shared" si="356"/>
        <v>0</v>
      </c>
      <c r="BB141" s="60">
        <v>0</v>
      </c>
      <c r="BC141" s="60"/>
      <c r="BD141" s="60">
        <f t="shared" si="350"/>
        <v>0</v>
      </c>
      <c r="BE141" s="60">
        <f t="shared" si="350"/>
        <v>0</v>
      </c>
      <c r="BF141" s="60">
        <f t="shared" si="351"/>
        <v>0</v>
      </c>
      <c r="BG141" s="60">
        <f t="shared" si="351"/>
        <v>0</v>
      </c>
      <c r="BH141" s="43">
        <v>0</v>
      </c>
      <c r="BI141" s="43">
        <v>0</v>
      </c>
      <c r="BJ141" s="43"/>
      <c r="BK141" s="43"/>
      <c r="BL141" s="43">
        <f t="shared" si="358"/>
        <v>0</v>
      </c>
      <c r="BM141" s="43">
        <f t="shared" si="358"/>
        <v>0</v>
      </c>
      <c r="BN141" s="43">
        <f t="shared" si="376"/>
        <v>0</v>
      </c>
      <c r="BO141" s="43">
        <v>0</v>
      </c>
      <c r="BP141" s="93"/>
      <c r="BQ141" s="43">
        <f t="shared" si="377"/>
        <v>0</v>
      </c>
      <c r="BR141" s="43">
        <f t="shared" si="377"/>
        <v>0</v>
      </c>
      <c r="BS141" s="43">
        <f t="shared" si="378"/>
        <v>0</v>
      </c>
      <c r="BT141" s="43">
        <f t="shared" si="378"/>
        <v>0</v>
      </c>
      <c r="BU141" s="43">
        <f t="shared" si="402"/>
        <v>0</v>
      </c>
      <c r="BV141" s="43">
        <v>0</v>
      </c>
      <c r="BW141" s="43"/>
      <c r="BX141" s="43"/>
      <c r="BY141" s="43"/>
      <c r="BZ141" s="43"/>
      <c r="CA141" s="43">
        <v>0</v>
      </c>
      <c r="CB141" s="43">
        <v>0</v>
      </c>
      <c r="CC141" s="92">
        <v>0</v>
      </c>
      <c r="CD141" s="92">
        <v>0</v>
      </c>
      <c r="CE141" s="92">
        <v>0</v>
      </c>
      <c r="CF141" s="92">
        <v>0</v>
      </c>
      <c r="CG141" s="92">
        <f t="shared" si="379"/>
        <v>0</v>
      </c>
      <c r="CH141" s="92">
        <f t="shared" si="379"/>
        <v>0</v>
      </c>
      <c r="CI141" s="43"/>
      <c r="CJ141" s="43"/>
      <c r="CK141" s="43">
        <v>0</v>
      </c>
      <c r="CL141" s="43">
        <v>0</v>
      </c>
      <c r="CM141" s="43"/>
      <c r="CN141" s="43"/>
      <c r="CO141" s="43"/>
      <c r="CP141" s="43"/>
      <c r="CQ141" s="43">
        <f t="shared" si="380"/>
        <v>0</v>
      </c>
      <c r="CR141" s="43">
        <f t="shared" si="380"/>
        <v>0</v>
      </c>
      <c r="CS141" s="43">
        <f t="shared" si="381"/>
        <v>0</v>
      </c>
      <c r="CT141" s="43">
        <f t="shared" si="381"/>
        <v>0</v>
      </c>
      <c r="CU141" s="43">
        <v>0</v>
      </c>
      <c r="CV141" s="43">
        <v>0</v>
      </c>
      <c r="CW141" s="43">
        <f t="shared" si="382"/>
        <v>0</v>
      </c>
      <c r="CX141" s="43">
        <f t="shared" si="382"/>
        <v>0</v>
      </c>
      <c r="CY141" s="43"/>
      <c r="CZ141" s="43"/>
      <c r="DA141" s="43">
        <f t="shared" si="383"/>
        <v>0</v>
      </c>
      <c r="DB141" s="43">
        <f t="shared" si="383"/>
        <v>0</v>
      </c>
      <c r="DC141" s="43">
        <v>0</v>
      </c>
      <c r="DD141" s="43">
        <v>0</v>
      </c>
      <c r="DE141" s="43">
        <f t="shared" si="384"/>
        <v>0</v>
      </c>
      <c r="DF141" s="43">
        <f t="shared" si="384"/>
        <v>0</v>
      </c>
      <c r="DG141" s="43">
        <f>ROUND(0.25*(MIN(CU141,EW141)),2)</f>
        <v>0</v>
      </c>
      <c r="DH141" s="43">
        <f>ROUND(0.25*(MIN(CV141,EX141)),2)</f>
        <v>0</v>
      </c>
      <c r="DI141" s="43">
        <f>+DG141-DE141</f>
        <v>0</v>
      </c>
      <c r="DJ141" s="43">
        <f>+DH141-DF141</f>
        <v>0</v>
      </c>
      <c r="DK141" s="43"/>
      <c r="DL141" s="43"/>
      <c r="DM141" s="43">
        <f t="shared" si="385"/>
        <v>0</v>
      </c>
      <c r="DN141" s="43">
        <f t="shared" si="385"/>
        <v>0</v>
      </c>
      <c r="DO141" s="115">
        <v>0</v>
      </c>
      <c r="DP141" s="114">
        <v>0</v>
      </c>
      <c r="DQ141" s="60">
        <f t="shared" si="386"/>
        <v>0</v>
      </c>
      <c r="DR141" s="60">
        <f t="shared" si="386"/>
        <v>0</v>
      </c>
      <c r="DS141" s="60">
        <f t="shared" si="387"/>
        <v>0</v>
      </c>
      <c r="DT141" s="60">
        <f t="shared" si="387"/>
        <v>0</v>
      </c>
      <c r="DU141" s="60">
        <f t="shared" si="388"/>
        <v>0</v>
      </c>
      <c r="DV141" s="60">
        <f t="shared" si="388"/>
        <v>0</v>
      </c>
      <c r="DW141" s="60"/>
      <c r="DX141" s="60"/>
      <c r="DY141" s="60">
        <f t="shared" si="389"/>
        <v>0</v>
      </c>
      <c r="DZ141" s="60">
        <f t="shared" si="389"/>
        <v>0</v>
      </c>
      <c r="EA141" s="60"/>
      <c r="EB141" s="60"/>
      <c r="EC141" s="43">
        <f t="shared" si="390"/>
        <v>0</v>
      </c>
      <c r="ED141" s="43">
        <f t="shared" si="390"/>
        <v>0</v>
      </c>
      <c r="EE141" s="43">
        <v>0</v>
      </c>
      <c r="EF141" s="43">
        <v>0</v>
      </c>
      <c r="EG141" s="43" t="e">
        <f t="shared" si="245"/>
        <v>#DIV/0!</v>
      </c>
      <c r="EH141" s="43" t="e">
        <f t="shared" si="245"/>
        <v>#DIV/0!</v>
      </c>
      <c r="EI141" s="43">
        <f t="shared" si="391"/>
        <v>0</v>
      </c>
      <c r="EJ141" s="43">
        <f t="shared" si="391"/>
        <v>0</v>
      </c>
      <c r="EK141" s="43">
        <f t="shared" si="392"/>
        <v>0</v>
      </c>
      <c r="EL141" s="43">
        <f t="shared" si="392"/>
        <v>0</v>
      </c>
      <c r="EM141" s="43">
        <f t="shared" si="393"/>
        <v>0</v>
      </c>
      <c r="EN141" s="43">
        <f t="shared" si="393"/>
        <v>0</v>
      </c>
      <c r="EO141" s="43">
        <v>0</v>
      </c>
      <c r="EP141" s="43">
        <v>0</v>
      </c>
      <c r="EQ141" s="5"/>
      <c r="ER141" s="5"/>
      <c r="ES141" s="5"/>
      <c r="ET141" s="5"/>
      <c r="EU141" s="5">
        <f t="shared" si="270"/>
        <v>0</v>
      </c>
      <c r="EV141" s="5">
        <f t="shared" si="270"/>
        <v>0</v>
      </c>
      <c r="EW141" s="5">
        <v>0</v>
      </c>
      <c r="EX141" s="5">
        <v>0</v>
      </c>
      <c r="EY141" s="5">
        <v>0</v>
      </c>
      <c r="EZ141" s="5">
        <v>0</v>
      </c>
    </row>
    <row r="142" spans="1:163" ht="18.75" x14ac:dyDescent="0.25">
      <c r="A142" s="68"/>
      <c r="B142" s="68" t="s">
        <v>334</v>
      </c>
      <c r="C142" s="91" t="s">
        <v>136</v>
      </c>
      <c r="D142" s="67" t="s">
        <v>332</v>
      </c>
      <c r="E142" s="69" t="s">
        <v>335</v>
      </c>
      <c r="F142" s="70">
        <v>2025.0000000000005</v>
      </c>
      <c r="G142" s="70">
        <v>742</v>
      </c>
      <c r="H142" s="70">
        <v>2025.0000000000005</v>
      </c>
      <c r="I142" s="70">
        <v>742</v>
      </c>
      <c r="J142" s="71">
        <f t="shared" ref="J142:AA142" si="403">+J140+J141</f>
        <v>2250</v>
      </c>
      <c r="K142" s="71">
        <f t="shared" si="403"/>
        <v>500</v>
      </c>
      <c r="L142" s="71">
        <f t="shared" si="403"/>
        <v>0.2</v>
      </c>
      <c r="M142" s="71">
        <f t="shared" si="403"/>
        <v>2750.2</v>
      </c>
      <c r="N142" s="71">
        <f t="shared" si="403"/>
        <v>0</v>
      </c>
      <c r="O142" s="71">
        <f t="shared" si="403"/>
        <v>0</v>
      </c>
      <c r="P142" s="71">
        <f t="shared" si="403"/>
        <v>0</v>
      </c>
      <c r="Q142" s="71">
        <f t="shared" si="403"/>
        <v>0</v>
      </c>
      <c r="R142" s="71">
        <f t="shared" si="403"/>
        <v>2750.2</v>
      </c>
      <c r="S142" s="71">
        <f t="shared" si="403"/>
        <v>750</v>
      </c>
      <c r="T142" s="71">
        <f t="shared" si="403"/>
        <v>0</v>
      </c>
      <c r="U142" s="71">
        <f t="shared" si="403"/>
        <v>0</v>
      </c>
      <c r="V142" s="71">
        <f t="shared" si="403"/>
        <v>2143.06</v>
      </c>
      <c r="W142" s="71">
        <f t="shared" si="403"/>
        <v>766.26</v>
      </c>
      <c r="X142" s="71">
        <f t="shared" si="403"/>
        <v>607.13999999999987</v>
      </c>
      <c r="Y142" s="71">
        <f t="shared" si="403"/>
        <v>-16.259999999999991</v>
      </c>
      <c r="Z142" s="71">
        <f t="shared" si="403"/>
        <v>2143.06</v>
      </c>
      <c r="AA142" s="71">
        <f t="shared" si="403"/>
        <v>0</v>
      </c>
      <c r="AB142" s="70">
        <f t="shared" si="360"/>
        <v>2143.06</v>
      </c>
      <c r="AC142" s="43">
        <f t="shared" si="361"/>
        <v>0</v>
      </c>
      <c r="AD142" s="70">
        <f t="shared" ref="AD142:CO142" si="404">+AD140+AD141</f>
        <v>2143.06</v>
      </c>
      <c r="AE142" s="70">
        <f t="shared" si="404"/>
        <v>750</v>
      </c>
      <c r="AF142" s="70">
        <f t="shared" si="404"/>
        <v>676.65</v>
      </c>
      <c r="AG142" s="70">
        <f t="shared" si="404"/>
        <v>536</v>
      </c>
      <c r="AH142" s="70">
        <f t="shared" si="404"/>
        <v>188</v>
      </c>
      <c r="AI142" s="96">
        <f t="shared" si="404"/>
        <v>179</v>
      </c>
      <c r="AJ142" s="70">
        <f t="shared" si="404"/>
        <v>63</v>
      </c>
      <c r="AK142" s="70">
        <f t="shared" si="404"/>
        <v>0</v>
      </c>
      <c r="AL142" s="70">
        <f t="shared" si="404"/>
        <v>0</v>
      </c>
      <c r="AM142" s="70">
        <f t="shared" si="404"/>
        <v>535.77</v>
      </c>
      <c r="AN142" s="70">
        <f t="shared" si="404"/>
        <v>182.63</v>
      </c>
      <c r="AO142" s="70">
        <f t="shared" si="404"/>
        <v>0</v>
      </c>
      <c r="AP142" s="70">
        <f t="shared" si="404"/>
        <v>0</v>
      </c>
      <c r="AQ142" s="70">
        <f t="shared" si="404"/>
        <v>1071.77</v>
      </c>
      <c r="AR142" s="70">
        <f t="shared" si="404"/>
        <v>370.63</v>
      </c>
      <c r="AS142" s="70">
        <f t="shared" si="404"/>
        <v>0</v>
      </c>
      <c r="AT142" s="70">
        <f t="shared" si="404"/>
        <v>0</v>
      </c>
      <c r="AU142" s="70">
        <f t="shared" si="404"/>
        <v>535.77</v>
      </c>
      <c r="AV142" s="70">
        <f t="shared" si="404"/>
        <v>187.5</v>
      </c>
      <c r="AW142" s="70">
        <f t="shared" si="404"/>
        <v>0</v>
      </c>
      <c r="AX142" s="70">
        <f t="shared" si="404"/>
        <v>0</v>
      </c>
      <c r="AY142" s="70">
        <f t="shared" si="404"/>
        <v>1786.54</v>
      </c>
      <c r="AZ142" s="70">
        <f t="shared" si="404"/>
        <v>621.13</v>
      </c>
      <c r="BA142" s="70">
        <f t="shared" si="404"/>
        <v>2407.67</v>
      </c>
      <c r="BB142" s="70">
        <f t="shared" si="404"/>
        <v>1639.04</v>
      </c>
      <c r="BC142" s="70">
        <f t="shared" si="404"/>
        <v>439.03</v>
      </c>
      <c r="BD142" s="70">
        <f t="shared" si="404"/>
        <v>147.5</v>
      </c>
      <c r="BE142" s="70">
        <f t="shared" si="404"/>
        <v>182.10000000000002</v>
      </c>
      <c r="BF142" s="70">
        <f t="shared" si="404"/>
        <v>327.81</v>
      </c>
      <c r="BG142" s="96">
        <f t="shared" si="404"/>
        <v>87.81</v>
      </c>
      <c r="BH142" s="96">
        <f t="shared" si="404"/>
        <v>90.16</v>
      </c>
      <c r="BI142" s="96">
        <f t="shared" si="404"/>
        <v>0</v>
      </c>
      <c r="BJ142" s="96">
        <f t="shared" si="404"/>
        <v>0</v>
      </c>
      <c r="BK142" s="96">
        <f t="shared" si="404"/>
        <v>0</v>
      </c>
      <c r="BL142" s="96">
        <f t="shared" si="404"/>
        <v>1876.7</v>
      </c>
      <c r="BM142" s="96">
        <f t="shared" si="404"/>
        <v>621.13</v>
      </c>
      <c r="BN142" s="96">
        <f t="shared" si="404"/>
        <v>2497.83</v>
      </c>
      <c r="BO142" s="96">
        <f t="shared" si="404"/>
        <v>1812.14</v>
      </c>
      <c r="BP142" s="96">
        <f t="shared" si="404"/>
        <v>493.28</v>
      </c>
      <c r="BQ142" s="70">
        <f t="shared" si="404"/>
        <v>64.559999999999945</v>
      </c>
      <c r="BR142" s="70">
        <f t="shared" si="404"/>
        <v>127.85000000000002</v>
      </c>
      <c r="BS142" s="70">
        <f t="shared" si="404"/>
        <v>164.74</v>
      </c>
      <c r="BT142" s="70">
        <f t="shared" si="404"/>
        <v>44.84</v>
      </c>
      <c r="BU142" s="70">
        <f t="shared" si="404"/>
        <v>100.18</v>
      </c>
      <c r="BV142" s="70">
        <f t="shared" si="404"/>
        <v>0</v>
      </c>
      <c r="BW142" s="70">
        <f t="shared" si="404"/>
        <v>25</v>
      </c>
      <c r="BX142" s="70">
        <f t="shared" si="404"/>
        <v>70</v>
      </c>
      <c r="BY142" s="70">
        <f t="shared" si="404"/>
        <v>0</v>
      </c>
      <c r="BZ142" s="70">
        <f t="shared" si="404"/>
        <v>0</v>
      </c>
      <c r="CA142" s="70">
        <f t="shared" si="404"/>
        <v>2001.88</v>
      </c>
      <c r="CB142" s="70">
        <f t="shared" si="404"/>
        <v>691.13</v>
      </c>
      <c r="CC142" s="70">
        <f t="shared" si="404"/>
        <v>2202.0700000000002</v>
      </c>
      <c r="CD142" s="70">
        <f t="shared" si="404"/>
        <v>794.8</v>
      </c>
      <c r="CE142" s="70">
        <f t="shared" si="404"/>
        <v>184</v>
      </c>
      <c r="CF142" s="70">
        <f t="shared" si="404"/>
        <v>66</v>
      </c>
      <c r="CG142" s="70">
        <f t="shared" si="404"/>
        <v>500.47</v>
      </c>
      <c r="CH142" s="96">
        <f t="shared" si="404"/>
        <v>172.78</v>
      </c>
      <c r="CI142" s="70">
        <f t="shared" si="404"/>
        <v>0</v>
      </c>
      <c r="CJ142" s="70">
        <f t="shared" si="404"/>
        <v>0</v>
      </c>
      <c r="CK142" s="70">
        <f t="shared" si="404"/>
        <v>525</v>
      </c>
      <c r="CL142" s="70">
        <f t="shared" si="404"/>
        <v>80</v>
      </c>
      <c r="CM142" s="70">
        <f t="shared" si="404"/>
        <v>0</v>
      </c>
      <c r="CN142" s="70">
        <f t="shared" si="404"/>
        <v>0</v>
      </c>
      <c r="CO142" s="70">
        <f t="shared" si="404"/>
        <v>2450</v>
      </c>
      <c r="CP142" s="70">
        <f t="shared" ref="CP142:FA142" si="405">+CP140+CP141</f>
        <v>750</v>
      </c>
      <c r="CQ142" s="70">
        <f t="shared" si="405"/>
        <v>2100</v>
      </c>
      <c r="CR142" s="70">
        <f t="shared" si="405"/>
        <v>320</v>
      </c>
      <c r="CS142" s="70">
        <f t="shared" si="405"/>
        <v>2100</v>
      </c>
      <c r="CT142" s="70">
        <f t="shared" si="405"/>
        <v>320</v>
      </c>
      <c r="CU142" s="70">
        <f t="shared" si="405"/>
        <v>2100</v>
      </c>
      <c r="CV142" s="70">
        <f t="shared" si="405"/>
        <v>601</v>
      </c>
      <c r="CW142" s="70">
        <f t="shared" si="405"/>
        <v>525</v>
      </c>
      <c r="CX142" s="70">
        <f t="shared" si="405"/>
        <v>80</v>
      </c>
      <c r="CY142" s="70">
        <f t="shared" si="405"/>
        <v>0</v>
      </c>
      <c r="CZ142" s="70">
        <f t="shared" si="405"/>
        <v>150</v>
      </c>
      <c r="DA142" s="70">
        <f t="shared" si="405"/>
        <v>1234</v>
      </c>
      <c r="DB142" s="70">
        <f t="shared" si="405"/>
        <v>376</v>
      </c>
      <c r="DC142" s="70">
        <f t="shared" si="405"/>
        <v>1213.3399999999999</v>
      </c>
      <c r="DD142" s="70">
        <f t="shared" si="405"/>
        <v>355.62</v>
      </c>
      <c r="DE142" s="70">
        <f t="shared" si="405"/>
        <v>20.660000000000082</v>
      </c>
      <c r="DF142" s="70">
        <f t="shared" si="405"/>
        <v>20.379999999999995</v>
      </c>
      <c r="DG142" s="70">
        <f t="shared" si="405"/>
        <v>512.5</v>
      </c>
      <c r="DH142" s="70">
        <f t="shared" si="405"/>
        <v>80</v>
      </c>
      <c r="DI142" s="70">
        <f t="shared" si="405"/>
        <v>491.83999999999992</v>
      </c>
      <c r="DJ142" s="70">
        <f t="shared" si="405"/>
        <v>0</v>
      </c>
      <c r="DK142" s="70">
        <f t="shared" si="405"/>
        <v>96</v>
      </c>
      <c r="DL142" s="70">
        <f t="shared" si="405"/>
        <v>225</v>
      </c>
      <c r="DM142" s="70">
        <f t="shared" si="405"/>
        <v>1821.84</v>
      </c>
      <c r="DN142" s="70">
        <f t="shared" si="405"/>
        <v>601</v>
      </c>
      <c r="DO142" s="70">
        <f t="shared" si="405"/>
        <v>1816.74</v>
      </c>
      <c r="DP142" s="70">
        <f t="shared" si="405"/>
        <v>433.94</v>
      </c>
      <c r="DQ142" s="70">
        <f t="shared" si="405"/>
        <v>5.0999999999999996</v>
      </c>
      <c r="DR142" s="70">
        <f t="shared" si="405"/>
        <v>167.06</v>
      </c>
      <c r="DS142" s="70">
        <f t="shared" si="405"/>
        <v>181.67400000000001</v>
      </c>
      <c r="DT142" s="70">
        <f t="shared" si="405"/>
        <v>43.393999999999998</v>
      </c>
      <c r="DU142" s="70">
        <f t="shared" si="405"/>
        <v>176.57400000000001</v>
      </c>
      <c r="DV142" s="70">
        <f t="shared" si="405"/>
        <v>-123.666</v>
      </c>
      <c r="DW142" s="70">
        <f t="shared" si="405"/>
        <v>0</v>
      </c>
      <c r="DX142" s="70">
        <f t="shared" si="405"/>
        <v>0</v>
      </c>
      <c r="DY142" s="70">
        <f t="shared" si="405"/>
        <v>200</v>
      </c>
      <c r="DZ142" s="70">
        <f t="shared" si="405"/>
        <v>0</v>
      </c>
      <c r="EA142" s="70">
        <f t="shared" si="405"/>
        <v>0</v>
      </c>
      <c r="EB142" s="96">
        <f t="shared" si="405"/>
        <v>0</v>
      </c>
      <c r="EC142" s="70">
        <f t="shared" si="405"/>
        <v>2021.84</v>
      </c>
      <c r="ED142" s="70">
        <f t="shared" si="405"/>
        <v>601</v>
      </c>
      <c r="EE142" s="70">
        <f t="shared" si="405"/>
        <v>1995.06</v>
      </c>
      <c r="EF142" s="70">
        <f t="shared" si="405"/>
        <v>499.47</v>
      </c>
      <c r="EG142" s="70" t="e">
        <f t="shared" si="405"/>
        <v>#DIV/0!</v>
      </c>
      <c r="EH142" s="70" t="e">
        <f t="shared" si="405"/>
        <v>#DIV/0!</v>
      </c>
      <c r="EI142" s="70">
        <f t="shared" si="405"/>
        <v>26.78</v>
      </c>
      <c r="EJ142" s="70">
        <f t="shared" si="405"/>
        <v>101.53</v>
      </c>
      <c r="EK142" s="70">
        <f t="shared" si="405"/>
        <v>181.37</v>
      </c>
      <c r="EL142" s="70">
        <f t="shared" si="405"/>
        <v>45.41</v>
      </c>
      <c r="EM142" s="70">
        <f t="shared" si="405"/>
        <v>154.59</v>
      </c>
      <c r="EN142" s="70">
        <f t="shared" si="405"/>
        <v>-56.120000000000005</v>
      </c>
      <c r="EO142" s="70">
        <f t="shared" si="405"/>
        <v>168</v>
      </c>
      <c r="EP142" s="70">
        <f t="shared" si="405"/>
        <v>90</v>
      </c>
      <c r="EQ142" s="66">
        <f t="shared" si="405"/>
        <v>0</v>
      </c>
      <c r="ER142" s="46">
        <f t="shared" si="405"/>
        <v>0</v>
      </c>
      <c r="ES142" s="46">
        <f t="shared" si="405"/>
        <v>0</v>
      </c>
      <c r="ET142" s="46">
        <f t="shared" si="405"/>
        <v>119</v>
      </c>
      <c r="EU142" s="5">
        <f t="shared" si="270"/>
        <v>-139.83999999999992</v>
      </c>
      <c r="EV142" s="5">
        <f t="shared" si="270"/>
        <v>29</v>
      </c>
      <c r="EW142" s="46">
        <f t="shared" si="405"/>
        <v>2050</v>
      </c>
      <c r="EX142" s="46">
        <f t="shared" si="405"/>
        <v>720</v>
      </c>
      <c r="EY142" s="46">
        <f t="shared" si="405"/>
        <v>2184</v>
      </c>
      <c r="EZ142" s="46">
        <f t="shared" si="405"/>
        <v>750</v>
      </c>
      <c r="FA142" s="46">
        <f t="shared" si="405"/>
        <v>0</v>
      </c>
    </row>
    <row r="143" spans="1:163" ht="18.75" x14ac:dyDescent="0.25">
      <c r="A143" s="37">
        <v>6</v>
      </c>
      <c r="B143" s="37"/>
      <c r="C143" s="91" t="s">
        <v>183</v>
      </c>
      <c r="D143" s="38" t="s">
        <v>336</v>
      </c>
      <c r="E143" s="39"/>
      <c r="F143" s="40">
        <v>2779.65</v>
      </c>
      <c r="G143" s="40">
        <v>422.05999999999995</v>
      </c>
      <c r="H143" s="40">
        <v>2779.65</v>
      </c>
      <c r="I143" s="40">
        <v>422.05999999999995</v>
      </c>
      <c r="J143" s="41">
        <v>3500</v>
      </c>
      <c r="K143" s="41">
        <v>0</v>
      </c>
      <c r="L143" s="41">
        <v>0</v>
      </c>
      <c r="M143" s="41">
        <f t="shared" si="367"/>
        <v>3500</v>
      </c>
      <c r="N143" s="41">
        <v>0</v>
      </c>
      <c r="O143" s="41">
        <v>0</v>
      </c>
      <c r="P143" s="41">
        <v>0</v>
      </c>
      <c r="Q143" s="41">
        <f t="shared" ref="Q143:Q145" si="406">N143+O143+P143</f>
        <v>0</v>
      </c>
      <c r="R143" s="41">
        <f t="shared" si="369"/>
        <v>3500</v>
      </c>
      <c r="S143" s="41">
        <v>350</v>
      </c>
      <c r="T143" s="92"/>
      <c r="U143" s="92"/>
      <c r="V143" s="40">
        <f t="shared" ref="V143:V145" si="407">ROUND(H143*1.0583,2)</f>
        <v>2941.7</v>
      </c>
      <c r="W143" s="40">
        <f t="shared" ref="W143:W145" si="408">ROUND(I143*1.0327,2)</f>
        <v>435.86</v>
      </c>
      <c r="X143" s="43">
        <f t="shared" si="352"/>
        <v>558.30000000000018</v>
      </c>
      <c r="Y143" s="43">
        <f t="shared" si="352"/>
        <v>-85.860000000000014</v>
      </c>
      <c r="Z143" s="43">
        <v>2941.7</v>
      </c>
      <c r="AA143" s="43"/>
      <c r="AB143" s="43">
        <f t="shared" si="360"/>
        <v>2941.7</v>
      </c>
      <c r="AC143" s="43">
        <f t="shared" si="361"/>
        <v>0</v>
      </c>
      <c r="AD143" s="43">
        <f t="shared" ref="AD143:AE145" si="409">IF(X143&gt;0,V143,R143)</f>
        <v>2941.7</v>
      </c>
      <c r="AE143" s="43">
        <f t="shared" si="409"/>
        <v>350</v>
      </c>
      <c r="AF143" s="43">
        <f t="shared" si="373"/>
        <v>315.77</v>
      </c>
      <c r="AG143" s="43">
        <f t="shared" si="353"/>
        <v>735</v>
      </c>
      <c r="AH143" s="43">
        <f t="shared" si="353"/>
        <v>88</v>
      </c>
      <c r="AI143" s="93">
        <f t="shared" si="354"/>
        <v>245</v>
      </c>
      <c r="AJ143" s="43">
        <f t="shared" si="354"/>
        <v>29</v>
      </c>
      <c r="AK143" s="43"/>
      <c r="AL143" s="43"/>
      <c r="AM143" s="43">
        <f t="shared" si="374"/>
        <v>735.43</v>
      </c>
      <c r="AN143" s="43">
        <f t="shared" si="375"/>
        <v>85.23</v>
      </c>
      <c r="AO143" s="43"/>
      <c r="AP143" s="43"/>
      <c r="AQ143" s="43">
        <f t="shared" si="355"/>
        <v>1470.4299999999998</v>
      </c>
      <c r="AR143" s="43">
        <f t="shared" si="355"/>
        <v>173.23000000000002</v>
      </c>
      <c r="AS143" s="43"/>
      <c r="AT143" s="43"/>
      <c r="AU143" s="43">
        <f t="shared" si="260"/>
        <v>735.43</v>
      </c>
      <c r="AV143" s="43">
        <f>ROUND(AE143*25%,2)-14.73</f>
        <v>72.77</v>
      </c>
      <c r="AW143" s="43"/>
      <c r="AX143" s="43">
        <v>27</v>
      </c>
      <c r="AY143" s="43">
        <f t="shared" si="349"/>
        <v>2450.8599999999997</v>
      </c>
      <c r="AZ143" s="43">
        <f t="shared" si="349"/>
        <v>302</v>
      </c>
      <c r="BA143" s="43">
        <f t="shared" si="356"/>
        <v>2752.8599999999997</v>
      </c>
      <c r="BB143" s="60">
        <v>2099.16</v>
      </c>
      <c r="BC143" s="60">
        <v>299.38</v>
      </c>
      <c r="BD143" s="60">
        <f t="shared" si="350"/>
        <v>351.69999999999982</v>
      </c>
      <c r="BE143" s="60">
        <f t="shared" si="350"/>
        <v>2.6200000000000045</v>
      </c>
      <c r="BF143" s="60">
        <f t="shared" si="351"/>
        <v>419.83</v>
      </c>
      <c r="BG143" s="60">
        <f t="shared" si="351"/>
        <v>59.88</v>
      </c>
      <c r="BH143" s="43">
        <v>34.07</v>
      </c>
      <c r="BI143" s="43">
        <v>28.63</v>
      </c>
      <c r="BJ143" s="43"/>
      <c r="BK143" s="43">
        <v>42</v>
      </c>
      <c r="BL143" s="43">
        <f t="shared" si="358"/>
        <v>2484.9299999999998</v>
      </c>
      <c r="BM143" s="43">
        <f t="shared" si="358"/>
        <v>372.63</v>
      </c>
      <c r="BN143" s="43">
        <f t="shared" si="376"/>
        <v>2857.56</v>
      </c>
      <c r="BO143" s="43">
        <v>2283.52</v>
      </c>
      <c r="BP143" s="93">
        <v>363.21</v>
      </c>
      <c r="BQ143" s="43">
        <f t="shared" si="377"/>
        <v>201.40999999999985</v>
      </c>
      <c r="BR143" s="43">
        <f t="shared" si="377"/>
        <v>9.4200000000000159</v>
      </c>
      <c r="BS143" s="43">
        <f t="shared" si="378"/>
        <v>207.59</v>
      </c>
      <c r="BT143" s="43">
        <f t="shared" si="378"/>
        <v>33.020000000000003</v>
      </c>
      <c r="BU143" s="43">
        <f t="shared" si="402"/>
        <v>6.18</v>
      </c>
      <c r="BV143" s="43">
        <v>0</v>
      </c>
      <c r="BW143" s="43">
        <v>130</v>
      </c>
      <c r="BX143" s="43">
        <v>25</v>
      </c>
      <c r="BY143" s="43"/>
      <c r="BZ143" s="43"/>
      <c r="CA143" s="43">
        <v>2621.1099999999997</v>
      </c>
      <c r="CB143" s="43">
        <v>397.63</v>
      </c>
      <c r="CC143" s="92">
        <v>2883.22</v>
      </c>
      <c r="CD143" s="92">
        <v>457.27</v>
      </c>
      <c r="CE143" s="92">
        <v>240</v>
      </c>
      <c r="CF143" s="92">
        <v>38</v>
      </c>
      <c r="CG143" s="92">
        <f t="shared" si="379"/>
        <v>655.28</v>
      </c>
      <c r="CH143" s="92">
        <f t="shared" si="379"/>
        <v>99.41</v>
      </c>
      <c r="CI143" s="43"/>
      <c r="CJ143" s="43"/>
      <c r="CK143" s="72">
        <f>750.5-20</f>
        <v>730.5</v>
      </c>
      <c r="CL143" s="43">
        <v>50.3</v>
      </c>
      <c r="CM143" s="43"/>
      <c r="CN143" s="43"/>
      <c r="CO143" s="43">
        <v>3200</v>
      </c>
      <c r="CP143" s="43">
        <v>350</v>
      </c>
      <c r="CQ143" s="43">
        <f t="shared" si="380"/>
        <v>2922</v>
      </c>
      <c r="CR143" s="43">
        <f t="shared" si="380"/>
        <v>201.2</v>
      </c>
      <c r="CS143" s="43">
        <f t="shared" si="381"/>
        <v>2922</v>
      </c>
      <c r="CT143" s="43">
        <f>IF(CP143&lt;CR143,CP143,CR143)+0.67</f>
        <v>201.86999999999998</v>
      </c>
      <c r="CU143" s="43">
        <v>2922</v>
      </c>
      <c r="CV143" s="43">
        <v>295</v>
      </c>
      <c r="CW143" s="43">
        <f t="shared" si="382"/>
        <v>730.5</v>
      </c>
      <c r="CX143" s="43">
        <f t="shared" si="382"/>
        <v>73.75</v>
      </c>
      <c r="CY143" s="43"/>
      <c r="CZ143" s="43"/>
      <c r="DA143" s="43">
        <f t="shared" si="383"/>
        <v>1701</v>
      </c>
      <c r="DB143" s="43">
        <f t="shared" si="383"/>
        <v>162.05000000000001</v>
      </c>
      <c r="DC143" s="43">
        <v>1381.63</v>
      </c>
      <c r="DD143" s="43">
        <v>112.58</v>
      </c>
      <c r="DE143" s="43">
        <f t="shared" si="384"/>
        <v>319.36999999999989</v>
      </c>
      <c r="DF143" s="43">
        <f t="shared" si="384"/>
        <v>49.470000000000013</v>
      </c>
      <c r="DG143" s="43">
        <f t="shared" ref="DG143:DH145" si="410">ROUND(0.25*(MIN(CU143,EW143)),2)</f>
        <v>730.5</v>
      </c>
      <c r="DH143" s="43">
        <f t="shared" si="410"/>
        <v>73.75</v>
      </c>
      <c r="DI143" s="43">
        <f t="shared" ref="DI143:DI145" si="411">+DG143-DE143</f>
        <v>411.13000000000011</v>
      </c>
      <c r="DJ143" s="43">
        <f>+DH143-DF143</f>
        <v>24.279999999999987</v>
      </c>
      <c r="DK143" s="43"/>
      <c r="DL143" s="43"/>
      <c r="DM143" s="43">
        <f t="shared" si="385"/>
        <v>2112.13</v>
      </c>
      <c r="DN143" s="43">
        <f t="shared" si="385"/>
        <v>186.32999999999998</v>
      </c>
      <c r="DO143" s="94">
        <v>2075.15</v>
      </c>
      <c r="DP143" s="95">
        <v>152.49</v>
      </c>
      <c r="DQ143" s="60">
        <f t="shared" si="386"/>
        <v>36.979999999999997</v>
      </c>
      <c r="DR143" s="60">
        <f t="shared" si="386"/>
        <v>33.840000000000003</v>
      </c>
      <c r="DS143" s="60">
        <f t="shared" si="387"/>
        <v>207.51500000000001</v>
      </c>
      <c r="DT143" s="60">
        <f t="shared" si="387"/>
        <v>15.249000000000001</v>
      </c>
      <c r="DU143" s="60">
        <f t="shared" si="388"/>
        <v>170.53500000000003</v>
      </c>
      <c r="DV143" s="60">
        <f t="shared" si="388"/>
        <v>-18.591000000000001</v>
      </c>
      <c r="DW143" s="60"/>
      <c r="DX143" s="60"/>
      <c r="DY143" s="60">
        <f t="shared" si="389"/>
        <v>170.54</v>
      </c>
      <c r="DZ143" s="60">
        <v>0</v>
      </c>
      <c r="EA143" s="60"/>
      <c r="EB143" s="60"/>
      <c r="EC143" s="43">
        <f t="shared" si="390"/>
        <v>2282.67</v>
      </c>
      <c r="ED143" s="43">
        <f t="shared" si="390"/>
        <v>186.32999999999998</v>
      </c>
      <c r="EE143" s="43">
        <v>2261.58</v>
      </c>
      <c r="EF143" s="43">
        <v>163.84</v>
      </c>
      <c r="EG143" s="43">
        <f t="shared" si="245"/>
        <v>99.08</v>
      </c>
      <c r="EH143" s="43">
        <f t="shared" si="245"/>
        <v>87.93</v>
      </c>
      <c r="EI143" s="43">
        <f t="shared" si="391"/>
        <v>21.09</v>
      </c>
      <c r="EJ143" s="43">
        <f t="shared" si="391"/>
        <v>22.49</v>
      </c>
      <c r="EK143" s="43">
        <f t="shared" si="392"/>
        <v>205.6</v>
      </c>
      <c r="EL143" s="43">
        <f t="shared" si="392"/>
        <v>14.89</v>
      </c>
      <c r="EM143" s="43">
        <f t="shared" si="393"/>
        <v>184.51</v>
      </c>
      <c r="EN143" s="43">
        <f t="shared" si="393"/>
        <v>-7.5999999999999979</v>
      </c>
      <c r="EO143" s="43">
        <v>330</v>
      </c>
      <c r="EP143" s="43">
        <v>80</v>
      </c>
      <c r="EQ143" s="5"/>
      <c r="ER143" s="5"/>
      <c r="ES143" s="5"/>
      <c r="ET143" s="5"/>
      <c r="EU143" s="5">
        <f t="shared" si="270"/>
        <v>309.32999999999993</v>
      </c>
      <c r="EV143" s="5">
        <f t="shared" si="270"/>
        <v>28.670000000000016</v>
      </c>
      <c r="EW143" s="5">
        <v>2922</v>
      </c>
      <c r="EX143" s="5">
        <v>295</v>
      </c>
      <c r="EY143" s="5">
        <v>3300</v>
      </c>
      <c r="EZ143" s="5">
        <v>335</v>
      </c>
    </row>
    <row r="144" spans="1:163" ht="37.5" x14ac:dyDescent="0.25">
      <c r="A144" s="37">
        <v>7</v>
      </c>
      <c r="B144" s="37"/>
      <c r="C144" s="91" t="s">
        <v>183</v>
      </c>
      <c r="D144" s="38" t="s">
        <v>337</v>
      </c>
      <c r="E144" s="39"/>
      <c r="F144" s="40">
        <v>0</v>
      </c>
      <c r="G144" s="40">
        <v>0</v>
      </c>
      <c r="H144" s="40">
        <v>0</v>
      </c>
      <c r="I144" s="40">
        <v>0</v>
      </c>
      <c r="J144" s="41">
        <v>0</v>
      </c>
      <c r="K144" s="41">
        <v>0</v>
      </c>
      <c r="L144" s="41">
        <v>0</v>
      </c>
      <c r="M144" s="41">
        <f t="shared" si="367"/>
        <v>0</v>
      </c>
      <c r="N144" s="41">
        <v>0</v>
      </c>
      <c r="O144" s="41">
        <v>0</v>
      </c>
      <c r="P144" s="41">
        <v>0</v>
      </c>
      <c r="Q144" s="41">
        <f t="shared" si="406"/>
        <v>0</v>
      </c>
      <c r="R144" s="41">
        <f t="shared" si="369"/>
        <v>0</v>
      </c>
      <c r="S144" s="41">
        <v>0</v>
      </c>
      <c r="T144" s="92"/>
      <c r="U144" s="92"/>
      <c r="V144" s="40">
        <f t="shared" si="407"/>
        <v>0</v>
      </c>
      <c r="W144" s="40">
        <f t="shared" si="408"/>
        <v>0</v>
      </c>
      <c r="X144" s="43">
        <f t="shared" si="352"/>
        <v>0</v>
      </c>
      <c r="Y144" s="43">
        <f t="shared" si="352"/>
        <v>0</v>
      </c>
      <c r="Z144" s="43">
        <v>0</v>
      </c>
      <c r="AA144" s="43"/>
      <c r="AB144" s="43">
        <f t="shared" si="360"/>
        <v>0</v>
      </c>
      <c r="AC144" s="43">
        <f t="shared" si="361"/>
        <v>0</v>
      </c>
      <c r="AD144" s="43">
        <f t="shared" si="409"/>
        <v>0</v>
      </c>
      <c r="AE144" s="43">
        <f t="shared" si="409"/>
        <v>0</v>
      </c>
      <c r="AF144" s="43">
        <f t="shared" si="373"/>
        <v>0</v>
      </c>
      <c r="AG144" s="43">
        <f t="shared" si="353"/>
        <v>0</v>
      </c>
      <c r="AH144" s="43">
        <f t="shared" si="353"/>
        <v>0</v>
      </c>
      <c r="AI144" s="93">
        <f t="shared" si="354"/>
        <v>0</v>
      </c>
      <c r="AJ144" s="43">
        <f t="shared" si="354"/>
        <v>0</v>
      </c>
      <c r="AK144" s="43"/>
      <c r="AL144" s="43"/>
      <c r="AM144" s="43">
        <f t="shared" si="374"/>
        <v>0</v>
      </c>
      <c r="AN144" s="43">
        <f t="shared" si="375"/>
        <v>0</v>
      </c>
      <c r="AO144" s="43"/>
      <c r="AP144" s="43"/>
      <c r="AQ144" s="43">
        <f t="shared" si="355"/>
        <v>0</v>
      </c>
      <c r="AR144" s="43">
        <f t="shared" si="355"/>
        <v>0</v>
      </c>
      <c r="AS144" s="43"/>
      <c r="AT144" s="43"/>
      <c r="AU144" s="43">
        <f t="shared" si="260"/>
        <v>0</v>
      </c>
      <c r="AV144" s="43">
        <f t="shared" si="260"/>
        <v>0</v>
      </c>
      <c r="AW144" s="43"/>
      <c r="AX144" s="43"/>
      <c r="AY144" s="43">
        <f t="shared" si="349"/>
        <v>0</v>
      </c>
      <c r="AZ144" s="43">
        <f t="shared" si="349"/>
        <v>0</v>
      </c>
      <c r="BA144" s="43">
        <f t="shared" si="356"/>
        <v>0</v>
      </c>
      <c r="BB144" s="60">
        <v>0</v>
      </c>
      <c r="BC144" s="60"/>
      <c r="BD144" s="60">
        <f t="shared" si="350"/>
        <v>0</v>
      </c>
      <c r="BE144" s="60">
        <f t="shared" si="350"/>
        <v>0</v>
      </c>
      <c r="BF144" s="60">
        <f t="shared" si="351"/>
        <v>0</v>
      </c>
      <c r="BG144" s="60">
        <f t="shared" si="351"/>
        <v>0</v>
      </c>
      <c r="BH144" s="43">
        <v>0</v>
      </c>
      <c r="BI144" s="43">
        <v>0</v>
      </c>
      <c r="BJ144" s="43"/>
      <c r="BK144" s="43"/>
      <c r="BL144" s="43">
        <f t="shared" si="358"/>
        <v>0</v>
      </c>
      <c r="BM144" s="43">
        <f t="shared" si="358"/>
        <v>0</v>
      </c>
      <c r="BN144" s="43">
        <f t="shared" si="376"/>
        <v>0</v>
      </c>
      <c r="BO144" s="43">
        <v>0</v>
      </c>
      <c r="BP144" s="93"/>
      <c r="BQ144" s="43">
        <f t="shared" si="377"/>
        <v>0</v>
      </c>
      <c r="BR144" s="43">
        <f t="shared" si="377"/>
        <v>0</v>
      </c>
      <c r="BS144" s="43">
        <f t="shared" si="378"/>
        <v>0</v>
      </c>
      <c r="BT144" s="43">
        <f t="shared" si="378"/>
        <v>0</v>
      </c>
      <c r="BU144" s="43">
        <f t="shared" si="402"/>
        <v>0</v>
      </c>
      <c r="BV144" s="43">
        <v>0</v>
      </c>
      <c r="BW144" s="43"/>
      <c r="BX144" s="43"/>
      <c r="BY144" s="43"/>
      <c r="BZ144" s="43"/>
      <c r="CA144" s="43">
        <v>0</v>
      </c>
      <c r="CB144" s="43">
        <v>0</v>
      </c>
      <c r="CC144" s="92">
        <v>0</v>
      </c>
      <c r="CD144" s="92">
        <v>0</v>
      </c>
      <c r="CE144" s="92">
        <v>0</v>
      </c>
      <c r="CF144" s="92">
        <v>0</v>
      </c>
      <c r="CG144" s="92">
        <f t="shared" si="379"/>
        <v>0</v>
      </c>
      <c r="CH144" s="92">
        <f t="shared" si="379"/>
        <v>0</v>
      </c>
      <c r="CI144" s="43"/>
      <c r="CJ144" s="43"/>
      <c r="CK144" s="43">
        <v>0</v>
      </c>
      <c r="CL144" s="43">
        <v>0</v>
      </c>
      <c r="CM144" s="43"/>
      <c r="CN144" s="43"/>
      <c r="CO144" s="43"/>
      <c r="CP144" s="43"/>
      <c r="CQ144" s="43">
        <f t="shared" si="380"/>
        <v>0</v>
      </c>
      <c r="CR144" s="43">
        <f t="shared" si="380"/>
        <v>0</v>
      </c>
      <c r="CS144" s="43">
        <f t="shared" si="381"/>
        <v>0</v>
      </c>
      <c r="CT144" s="43">
        <f t="shared" si="381"/>
        <v>0</v>
      </c>
      <c r="CU144" s="43">
        <v>0</v>
      </c>
      <c r="CV144" s="43">
        <v>0</v>
      </c>
      <c r="CW144" s="43">
        <f t="shared" si="382"/>
        <v>0</v>
      </c>
      <c r="CX144" s="43">
        <f t="shared" si="382"/>
        <v>0</v>
      </c>
      <c r="CY144" s="43"/>
      <c r="CZ144" s="43"/>
      <c r="DA144" s="43">
        <f t="shared" si="383"/>
        <v>0</v>
      </c>
      <c r="DB144" s="43">
        <f t="shared" si="383"/>
        <v>0</v>
      </c>
      <c r="DC144" s="43"/>
      <c r="DD144" s="43">
        <v>0</v>
      </c>
      <c r="DE144" s="43">
        <f t="shared" si="384"/>
        <v>0</v>
      </c>
      <c r="DF144" s="43">
        <f t="shared" si="384"/>
        <v>0</v>
      </c>
      <c r="DG144" s="43">
        <f t="shared" si="410"/>
        <v>0</v>
      </c>
      <c r="DH144" s="43">
        <f t="shared" si="410"/>
        <v>0</v>
      </c>
      <c r="DI144" s="43">
        <f t="shared" si="411"/>
        <v>0</v>
      </c>
      <c r="DJ144" s="43">
        <f>+DH144-DF144</f>
        <v>0</v>
      </c>
      <c r="DK144" s="43"/>
      <c r="DL144" s="43"/>
      <c r="DM144" s="43">
        <f t="shared" si="385"/>
        <v>0</v>
      </c>
      <c r="DN144" s="43">
        <f t="shared" si="385"/>
        <v>0</v>
      </c>
      <c r="DO144" s="94">
        <v>0</v>
      </c>
      <c r="DP144" s="116">
        <v>0</v>
      </c>
      <c r="DQ144" s="60">
        <f t="shared" si="386"/>
        <v>0</v>
      </c>
      <c r="DR144" s="60">
        <f t="shared" si="386"/>
        <v>0</v>
      </c>
      <c r="DS144" s="60">
        <f t="shared" si="387"/>
        <v>0</v>
      </c>
      <c r="DT144" s="60">
        <f t="shared" si="387"/>
        <v>0</v>
      </c>
      <c r="DU144" s="60">
        <f t="shared" si="388"/>
        <v>0</v>
      </c>
      <c r="DV144" s="60">
        <f t="shared" si="388"/>
        <v>0</v>
      </c>
      <c r="DW144" s="60"/>
      <c r="DX144" s="60"/>
      <c r="DY144" s="60">
        <f t="shared" si="389"/>
        <v>0</v>
      </c>
      <c r="DZ144" s="60">
        <f t="shared" si="389"/>
        <v>0</v>
      </c>
      <c r="EA144" s="60"/>
      <c r="EB144" s="60"/>
      <c r="EC144" s="43">
        <f t="shared" si="390"/>
        <v>0</v>
      </c>
      <c r="ED144" s="43">
        <f t="shared" si="390"/>
        <v>0</v>
      </c>
      <c r="EE144" s="43">
        <v>42.5</v>
      </c>
      <c r="EF144" s="43">
        <v>0</v>
      </c>
      <c r="EG144" s="43" t="e">
        <f t="shared" si="245"/>
        <v>#DIV/0!</v>
      </c>
      <c r="EH144" s="43" t="e">
        <f t="shared" si="245"/>
        <v>#DIV/0!</v>
      </c>
      <c r="EI144" s="43">
        <f t="shared" si="391"/>
        <v>-42.5</v>
      </c>
      <c r="EJ144" s="43">
        <f t="shared" si="391"/>
        <v>0</v>
      </c>
      <c r="EK144" s="43">
        <f t="shared" si="392"/>
        <v>3.86</v>
      </c>
      <c r="EL144" s="43">
        <f t="shared" si="392"/>
        <v>0</v>
      </c>
      <c r="EM144" s="43">
        <f t="shared" si="393"/>
        <v>46.36</v>
      </c>
      <c r="EN144" s="43">
        <f t="shared" si="393"/>
        <v>0</v>
      </c>
      <c r="EO144" s="43">
        <v>0</v>
      </c>
      <c r="EP144" s="43">
        <v>0</v>
      </c>
      <c r="EQ144" s="5"/>
      <c r="ER144" s="5"/>
      <c r="ES144" s="5"/>
      <c r="ET144" s="5"/>
      <c r="EU144" s="5">
        <f t="shared" si="270"/>
        <v>0</v>
      </c>
      <c r="EV144" s="5">
        <f t="shared" si="270"/>
        <v>0</v>
      </c>
      <c r="EW144" s="5">
        <v>0</v>
      </c>
      <c r="EX144" s="5">
        <v>0</v>
      </c>
      <c r="EY144" s="5">
        <v>0</v>
      </c>
      <c r="EZ144" s="5">
        <v>0</v>
      </c>
    </row>
    <row r="145" spans="1:159" ht="37.5" x14ac:dyDescent="0.25">
      <c r="A145" s="37">
        <v>8</v>
      </c>
      <c r="B145" s="37"/>
      <c r="C145" s="91" t="s">
        <v>183</v>
      </c>
      <c r="D145" s="38" t="s">
        <v>338</v>
      </c>
      <c r="E145" s="39"/>
      <c r="F145" s="40">
        <v>55.17</v>
      </c>
      <c r="G145" s="40">
        <v>0</v>
      </c>
      <c r="H145" s="40">
        <v>55.17</v>
      </c>
      <c r="I145" s="40">
        <v>0</v>
      </c>
      <c r="J145" s="41">
        <v>48</v>
      </c>
      <c r="K145" s="41">
        <v>0</v>
      </c>
      <c r="L145" s="41">
        <v>0</v>
      </c>
      <c r="M145" s="41">
        <f t="shared" si="367"/>
        <v>48</v>
      </c>
      <c r="N145" s="41"/>
      <c r="O145" s="41"/>
      <c r="P145" s="41"/>
      <c r="Q145" s="41">
        <f t="shared" si="406"/>
        <v>0</v>
      </c>
      <c r="R145" s="41">
        <f t="shared" si="369"/>
        <v>48</v>
      </c>
      <c r="S145" s="41"/>
      <c r="T145" s="92"/>
      <c r="U145" s="92"/>
      <c r="V145" s="40">
        <f t="shared" si="407"/>
        <v>58.39</v>
      </c>
      <c r="W145" s="40">
        <f t="shared" si="408"/>
        <v>0</v>
      </c>
      <c r="X145" s="43">
        <f t="shared" si="352"/>
        <v>-10.39</v>
      </c>
      <c r="Y145" s="43">
        <f t="shared" si="352"/>
        <v>0</v>
      </c>
      <c r="Z145" s="43">
        <v>48</v>
      </c>
      <c r="AA145" s="43"/>
      <c r="AB145" s="43">
        <f t="shared" si="360"/>
        <v>48</v>
      </c>
      <c r="AC145" s="43">
        <f t="shared" si="361"/>
        <v>0</v>
      </c>
      <c r="AD145" s="43">
        <f t="shared" si="409"/>
        <v>48</v>
      </c>
      <c r="AE145" s="43">
        <f t="shared" si="409"/>
        <v>0</v>
      </c>
      <c r="AF145" s="43">
        <f t="shared" si="373"/>
        <v>0</v>
      </c>
      <c r="AG145" s="43">
        <f t="shared" si="353"/>
        <v>12</v>
      </c>
      <c r="AH145" s="43">
        <f t="shared" si="353"/>
        <v>0</v>
      </c>
      <c r="AI145" s="93">
        <f t="shared" si="354"/>
        <v>4</v>
      </c>
      <c r="AJ145" s="43">
        <f t="shared" si="354"/>
        <v>0</v>
      </c>
      <c r="AK145" s="43"/>
      <c r="AL145" s="43"/>
      <c r="AM145" s="43">
        <f t="shared" si="374"/>
        <v>12</v>
      </c>
      <c r="AN145" s="43">
        <f t="shared" si="375"/>
        <v>0</v>
      </c>
      <c r="AO145" s="43"/>
      <c r="AP145" s="43"/>
      <c r="AQ145" s="43">
        <f t="shared" si="355"/>
        <v>24</v>
      </c>
      <c r="AR145" s="43">
        <f t="shared" si="355"/>
        <v>0</v>
      </c>
      <c r="AS145" s="43"/>
      <c r="AT145" s="43"/>
      <c r="AU145" s="43">
        <f t="shared" si="260"/>
        <v>12</v>
      </c>
      <c r="AV145" s="43">
        <f t="shared" si="260"/>
        <v>0</v>
      </c>
      <c r="AW145" s="43"/>
      <c r="AX145" s="43"/>
      <c r="AY145" s="43">
        <f t="shared" si="349"/>
        <v>40</v>
      </c>
      <c r="AZ145" s="43">
        <f t="shared" si="349"/>
        <v>0</v>
      </c>
      <c r="BA145" s="43">
        <f t="shared" si="356"/>
        <v>40</v>
      </c>
      <c r="BB145" s="60">
        <v>40</v>
      </c>
      <c r="BC145" s="60"/>
      <c r="BD145" s="60">
        <f t="shared" si="350"/>
        <v>0</v>
      </c>
      <c r="BE145" s="60">
        <f t="shared" si="350"/>
        <v>0</v>
      </c>
      <c r="BF145" s="60">
        <f t="shared" si="351"/>
        <v>8</v>
      </c>
      <c r="BG145" s="60">
        <f t="shared" si="351"/>
        <v>0</v>
      </c>
      <c r="BH145" s="43">
        <v>3</v>
      </c>
      <c r="BI145" s="43">
        <v>0</v>
      </c>
      <c r="BJ145" s="43"/>
      <c r="BK145" s="43"/>
      <c r="BL145" s="43">
        <f t="shared" si="358"/>
        <v>43</v>
      </c>
      <c r="BM145" s="43">
        <f t="shared" si="358"/>
        <v>0</v>
      </c>
      <c r="BN145" s="43">
        <f t="shared" si="376"/>
        <v>43</v>
      </c>
      <c r="BO145" s="43">
        <v>40</v>
      </c>
      <c r="BP145" s="93"/>
      <c r="BQ145" s="43">
        <f t="shared" si="377"/>
        <v>3</v>
      </c>
      <c r="BR145" s="43">
        <f t="shared" si="377"/>
        <v>0</v>
      </c>
      <c r="BS145" s="43">
        <f t="shared" si="378"/>
        <v>3.64</v>
      </c>
      <c r="BT145" s="43">
        <f t="shared" si="378"/>
        <v>0</v>
      </c>
      <c r="BU145" s="43">
        <f t="shared" si="402"/>
        <v>0.64</v>
      </c>
      <c r="BV145" s="43">
        <v>0</v>
      </c>
      <c r="BW145" s="43"/>
      <c r="BX145" s="43"/>
      <c r="BY145" s="43"/>
      <c r="BZ145" s="43"/>
      <c r="CA145" s="43">
        <v>43.64</v>
      </c>
      <c r="CB145" s="43">
        <v>0</v>
      </c>
      <c r="CC145" s="92">
        <v>48</v>
      </c>
      <c r="CD145" s="92">
        <v>0</v>
      </c>
      <c r="CE145" s="92">
        <v>4</v>
      </c>
      <c r="CF145" s="92">
        <v>0</v>
      </c>
      <c r="CG145" s="92">
        <f t="shared" si="379"/>
        <v>10.91</v>
      </c>
      <c r="CH145" s="92">
        <f t="shared" si="379"/>
        <v>0</v>
      </c>
      <c r="CI145" s="43"/>
      <c r="CJ145" s="43"/>
      <c r="CK145" s="43">
        <v>0</v>
      </c>
      <c r="CL145" s="43">
        <v>0</v>
      </c>
      <c r="CM145" s="43"/>
      <c r="CN145" s="43"/>
      <c r="CO145" s="43">
        <v>0</v>
      </c>
      <c r="CP145" s="43"/>
      <c r="CQ145" s="43">
        <f t="shared" si="380"/>
        <v>0</v>
      </c>
      <c r="CR145" s="43">
        <f t="shared" si="380"/>
        <v>0</v>
      </c>
      <c r="CS145" s="72">
        <f>IF(CO145&lt;CQ145,CO145,CQ145)+4</f>
        <v>4</v>
      </c>
      <c r="CT145" s="43">
        <f t="shared" si="381"/>
        <v>0</v>
      </c>
      <c r="CU145" s="43">
        <f>4+50</f>
        <v>54</v>
      </c>
      <c r="CV145" s="43">
        <v>0</v>
      </c>
      <c r="CW145" s="43">
        <f>ROUND(CU145*25%,2)-1-12.5</f>
        <v>0</v>
      </c>
      <c r="CX145" s="43">
        <f t="shared" si="382"/>
        <v>0</v>
      </c>
      <c r="CY145" s="43">
        <v>27</v>
      </c>
      <c r="CZ145" s="43"/>
      <c r="DA145" s="43">
        <f t="shared" si="383"/>
        <v>31</v>
      </c>
      <c r="DB145" s="43">
        <f t="shared" si="383"/>
        <v>0</v>
      </c>
      <c r="DC145" s="43">
        <v>31</v>
      </c>
      <c r="DD145" s="43">
        <v>0</v>
      </c>
      <c r="DE145" s="43">
        <f t="shared" si="384"/>
        <v>0</v>
      </c>
      <c r="DF145" s="43">
        <f t="shared" si="384"/>
        <v>0</v>
      </c>
      <c r="DG145" s="43">
        <f t="shared" si="410"/>
        <v>11.5</v>
      </c>
      <c r="DH145" s="43">
        <f t="shared" si="410"/>
        <v>0</v>
      </c>
      <c r="DI145" s="43">
        <f t="shared" si="411"/>
        <v>11.5</v>
      </c>
      <c r="DJ145" s="43">
        <f>+DH145-DF145</f>
        <v>0</v>
      </c>
      <c r="DK145" s="43"/>
      <c r="DL145" s="43"/>
      <c r="DM145" s="43">
        <f t="shared" si="385"/>
        <v>42.5</v>
      </c>
      <c r="DN145" s="43">
        <f t="shared" si="385"/>
        <v>0</v>
      </c>
      <c r="DO145" s="94">
        <v>42.5</v>
      </c>
      <c r="DP145" s="116">
        <v>0</v>
      </c>
      <c r="DQ145" s="60">
        <f t="shared" si="386"/>
        <v>0</v>
      </c>
      <c r="DR145" s="60">
        <f t="shared" si="386"/>
        <v>0</v>
      </c>
      <c r="DS145" s="60">
        <f t="shared" si="387"/>
        <v>4.25</v>
      </c>
      <c r="DT145" s="60">
        <f t="shared" si="387"/>
        <v>0</v>
      </c>
      <c r="DU145" s="60">
        <f t="shared" si="388"/>
        <v>4.25</v>
      </c>
      <c r="DV145" s="60">
        <f t="shared" si="388"/>
        <v>0</v>
      </c>
      <c r="DW145" s="60"/>
      <c r="DX145" s="60"/>
      <c r="DY145" s="60">
        <f>ROUND(DU145+DW145,2)-0.75</f>
        <v>3.5</v>
      </c>
      <c r="DZ145" s="60">
        <f t="shared" si="389"/>
        <v>0</v>
      </c>
      <c r="EA145" s="60"/>
      <c r="EB145" s="60"/>
      <c r="EC145" s="43">
        <f t="shared" si="390"/>
        <v>46</v>
      </c>
      <c r="ED145" s="43">
        <f t="shared" si="390"/>
        <v>0</v>
      </c>
      <c r="EE145" s="43">
        <v>0</v>
      </c>
      <c r="EF145" s="43">
        <v>0</v>
      </c>
      <c r="EG145" s="43">
        <f t="shared" si="245"/>
        <v>0</v>
      </c>
      <c r="EH145" s="43" t="e">
        <f t="shared" si="245"/>
        <v>#DIV/0!</v>
      </c>
      <c r="EI145" s="43">
        <f t="shared" si="391"/>
        <v>46</v>
      </c>
      <c r="EJ145" s="43">
        <f t="shared" si="391"/>
        <v>0</v>
      </c>
      <c r="EK145" s="43">
        <f t="shared" si="392"/>
        <v>0</v>
      </c>
      <c r="EL145" s="43">
        <f t="shared" si="392"/>
        <v>0</v>
      </c>
      <c r="EM145" s="43">
        <f t="shared" si="393"/>
        <v>-46</v>
      </c>
      <c r="EN145" s="43">
        <f t="shared" si="393"/>
        <v>0</v>
      </c>
      <c r="EO145" s="43">
        <f>0-3.5</f>
        <v>-3.5</v>
      </c>
      <c r="EP145" s="43">
        <v>0</v>
      </c>
      <c r="EQ145" s="5"/>
      <c r="ER145" s="5"/>
      <c r="ES145" s="5"/>
      <c r="ET145" s="5"/>
      <c r="EU145" s="5">
        <f t="shared" si="270"/>
        <v>3.5</v>
      </c>
      <c r="EV145" s="5">
        <f t="shared" si="270"/>
        <v>0</v>
      </c>
      <c r="EW145" s="5">
        <v>46</v>
      </c>
      <c r="EX145" s="5">
        <v>0</v>
      </c>
      <c r="EY145" s="5">
        <v>60</v>
      </c>
      <c r="EZ145" s="5">
        <v>0</v>
      </c>
    </row>
    <row r="146" spans="1:159" ht="18.75" x14ac:dyDescent="0.25">
      <c r="A146" s="68"/>
      <c r="B146" s="68" t="s">
        <v>339</v>
      </c>
      <c r="C146" s="91" t="s">
        <v>183</v>
      </c>
      <c r="D146" s="67" t="s">
        <v>336</v>
      </c>
      <c r="E146" s="69" t="s">
        <v>340</v>
      </c>
      <c r="F146" s="70">
        <v>2834.82</v>
      </c>
      <c r="G146" s="70">
        <v>422.05999999999995</v>
      </c>
      <c r="H146" s="70">
        <v>2834.82</v>
      </c>
      <c r="I146" s="70">
        <v>422.05999999999995</v>
      </c>
      <c r="J146" s="71">
        <f t="shared" ref="J146:AA146" si="412">+J143+J144+J145</f>
        <v>3548</v>
      </c>
      <c r="K146" s="71">
        <f t="shared" si="412"/>
        <v>0</v>
      </c>
      <c r="L146" s="71">
        <f t="shared" si="412"/>
        <v>0</v>
      </c>
      <c r="M146" s="71">
        <f t="shared" si="412"/>
        <v>3548</v>
      </c>
      <c r="N146" s="71">
        <f t="shared" si="412"/>
        <v>0</v>
      </c>
      <c r="O146" s="71">
        <f t="shared" si="412"/>
        <v>0</v>
      </c>
      <c r="P146" s="71">
        <f t="shared" si="412"/>
        <v>0</v>
      </c>
      <c r="Q146" s="71">
        <f t="shared" si="412"/>
        <v>0</v>
      </c>
      <c r="R146" s="71">
        <f t="shared" si="412"/>
        <v>3548</v>
      </c>
      <c r="S146" s="71">
        <f t="shared" si="412"/>
        <v>350</v>
      </c>
      <c r="T146" s="71">
        <f t="shared" si="412"/>
        <v>0</v>
      </c>
      <c r="U146" s="71">
        <f t="shared" si="412"/>
        <v>0</v>
      </c>
      <c r="V146" s="71">
        <f t="shared" si="412"/>
        <v>3000.0899999999997</v>
      </c>
      <c r="W146" s="71">
        <f t="shared" si="412"/>
        <v>435.86</v>
      </c>
      <c r="X146" s="71">
        <f t="shared" si="412"/>
        <v>547.9100000000002</v>
      </c>
      <c r="Y146" s="71">
        <f t="shared" si="412"/>
        <v>-85.860000000000014</v>
      </c>
      <c r="Z146" s="71">
        <f t="shared" si="412"/>
        <v>2989.7</v>
      </c>
      <c r="AA146" s="71">
        <f t="shared" si="412"/>
        <v>0</v>
      </c>
      <c r="AB146" s="70">
        <f t="shared" si="360"/>
        <v>2989.7</v>
      </c>
      <c r="AC146" s="43">
        <f t="shared" si="361"/>
        <v>0</v>
      </c>
      <c r="AD146" s="70">
        <f t="shared" ref="AD146:CO146" si="413">+AD143+AD144+AD145</f>
        <v>2989.7</v>
      </c>
      <c r="AE146" s="70">
        <f t="shared" si="413"/>
        <v>350</v>
      </c>
      <c r="AF146" s="70">
        <f t="shared" si="413"/>
        <v>315.77</v>
      </c>
      <c r="AG146" s="70">
        <f t="shared" si="413"/>
        <v>747</v>
      </c>
      <c r="AH146" s="70">
        <f t="shared" si="413"/>
        <v>88</v>
      </c>
      <c r="AI146" s="96">
        <f t="shared" si="413"/>
        <v>249</v>
      </c>
      <c r="AJ146" s="70">
        <f t="shared" si="413"/>
        <v>29</v>
      </c>
      <c r="AK146" s="70">
        <f t="shared" si="413"/>
        <v>0</v>
      </c>
      <c r="AL146" s="70">
        <f t="shared" si="413"/>
        <v>0</v>
      </c>
      <c r="AM146" s="70">
        <f t="shared" si="413"/>
        <v>747.43</v>
      </c>
      <c r="AN146" s="70">
        <f t="shared" si="413"/>
        <v>85.23</v>
      </c>
      <c r="AO146" s="70">
        <f t="shared" si="413"/>
        <v>0</v>
      </c>
      <c r="AP146" s="70">
        <f t="shared" si="413"/>
        <v>0</v>
      </c>
      <c r="AQ146" s="70">
        <f t="shared" si="413"/>
        <v>1494.4299999999998</v>
      </c>
      <c r="AR146" s="70">
        <f t="shared" si="413"/>
        <v>173.23000000000002</v>
      </c>
      <c r="AS146" s="70">
        <f t="shared" si="413"/>
        <v>0</v>
      </c>
      <c r="AT146" s="70">
        <f t="shared" si="413"/>
        <v>0</v>
      </c>
      <c r="AU146" s="70">
        <f t="shared" si="413"/>
        <v>747.43</v>
      </c>
      <c r="AV146" s="70">
        <f t="shared" si="413"/>
        <v>72.77</v>
      </c>
      <c r="AW146" s="70">
        <f t="shared" si="413"/>
        <v>0</v>
      </c>
      <c r="AX146" s="70">
        <f t="shared" si="413"/>
        <v>27</v>
      </c>
      <c r="AY146" s="70">
        <f t="shared" si="413"/>
        <v>2490.8599999999997</v>
      </c>
      <c r="AZ146" s="70">
        <f t="shared" si="413"/>
        <v>302</v>
      </c>
      <c r="BA146" s="70">
        <f t="shared" si="413"/>
        <v>2792.8599999999997</v>
      </c>
      <c r="BB146" s="70">
        <f t="shared" si="413"/>
        <v>2139.16</v>
      </c>
      <c r="BC146" s="70">
        <f t="shared" si="413"/>
        <v>299.38</v>
      </c>
      <c r="BD146" s="70">
        <f t="shared" si="413"/>
        <v>351.69999999999982</v>
      </c>
      <c r="BE146" s="70">
        <f t="shared" si="413"/>
        <v>2.6200000000000045</v>
      </c>
      <c r="BF146" s="70">
        <f t="shared" si="413"/>
        <v>427.83</v>
      </c>
      <c r="BG146" s="96">
        <f t="shared" si="413"/>
        <v>59.88</v>
      </c>
      <c r="BH146" s="96">
        <f t="shared" si="413"/>
        <v>37.07</v>
      </c>
      <c r="BI146" s="96">
        <f t="shared" si="413"/>
        <v>28.63</v>
      </c>
      <c r="BJ146" s="96">
        <f t="shared" si="413"/>
        <v>0</v>
      </c>
      <c r="BK146" s="96">
        <f t="shared" si="413"/>
        <v>42</v>
      </c>
      <c r="BL146" s="96">
        <f t="shared" si="413"/>
        <v>2527.9299999999998</v>
      </c>
      <c r="BM146" s="96">
        <f t="shared" si="413"/>
        <v>372.63</v>
      </c>
      <c r="BN146" s="96">
        <f t="shared" si="413"/>
        <v>2900.56</v>
      </c>
      <c r="BO146" s="96">
        <f t="shared" si="413"/>
        <v>2323.52</v>
      </c>
      <c r="BP146" s="96">
        <f t="shared" si="413"/>
        <v>363.21</v>
      </c>
      <c r="BQ146" s="70">
        <f t="shared" si="413"/>
        <v>204.40999999999985</v>
      </c>
      <c r="BR146" s="70">
        <f t="shared" si="413"/>
        <v>9.4200000000000159</v>
      </c>
      <c r="BS146" s="70">
        <f t="shared" si="413"/>
        <v>211.23</v>
      </c>
      <c r="BT146" s="70">
        <f t="shared" si="413"/>
        <v>33.020000000000003</v>
      </c>
      <c r="BU146" s="70">
        <f t="shared" si="413"/>
        <v>6.8199999999999994</v>
      </c>
      <c r="BV146" s="70">
        <f t="shared" si="413"/>
        <v>0</v>
      </c>
      <c r="BW146" s="70">
        <f t="shared" si="413"/>
        <v>130</v>
      </c>
      <c r="BX146" s="70">
        <f t="shared" si="413"/>
        <v>25</v>
      </c>
      <c r="BY146" s="70">
        <f t="shared" si="413"/>
        <v>0</v>
      </c>
      <c r="BZ146" s="70">
        <f t="shared" si="413"/>
        <v>0</v>
      </c>
      <c r="CA146" s="70">
        <f t="shared" si="413"/>
        <v>2664.7499999999995</v>
      </c>
      <c r="CB146" s="70">
        <f t="shared" si="413"/>
        <v>397.63</v>
      </c>
      <c r="CC146" s="70">
        <f t="shared" si="413"/>
        <v>2931.22</v>
      </c>
      <c r="CD146" s="70">
        <f t="shared" si="413"/>
        <v>457.27</v>
      </c>
      <c r="CE146" s="70">
        <f t="shared" si="413"/>
        <v>244</v>
      </c>
      <c r="CF146" s="70">
        <f t="shared" si="413"/>
        <v>38</v>
      </c>
      <c r="CG146" s="70">
        <f t="shared" si="413"/>
        <v>666.18999999999994</v>
      </c>
      <c r="CH146" s="96">
        <f t="shared" si="413"/>
        <v>99.41</v>
      </c>
      <c r="CI146" s="70">
        <f t="shared" si="413"/>
        <v>0</v>
      </c>
      <c r="CJ146" s="70">
        <f t="shared" si="413"/>
        <v>0</v>
      </c>
      <c r="CK146" s="70">
        <f t="shared" si="413"/>
        <v>730.5</v>
      </c>
      <c r="CL146" s="70">
        <f t="shared" si="413"/>
        <v>50.3</v>
      </c>
      <c r="CM146" s="70">
        <f t="shared" si="413"/>
        <v>0</v>
      </c>
      <c r="CN146" s="70">
        <f t="shared" si="413"/>
        <v>0</v>
      </c>
      <c r="CO146" s="70">
        <f t="shared" si="413"/>
        <v>3200</v>
      </c>
      <c r="CP146" s="70">
        <f t="shared" ref="CP146:FA146" si="414">+CP143+CP144+CP145</f>
        <v>350</v>
      </c>
      <c r="CQ146" s="70">
        <f t="shared" si="414"/>
        <v>2922</v>
      </c>
      <c r="CR146" s="70">
        <f t="shared" si="414"/>
        <v>201.2</v>
      </c>
      <c r="CS146" s="70">
        <f t="shared" si="414"/>
        <v>2926</v>
      </c>
      <c r="CT146" s="70">
        <f t="shared" si="414"/>
        <v>201.86999999999998</v>
      </c>
      <c r="CU146" s="70">
        <f t="shared" si="414"/>
        <v>2976</v>
      </c>
      <c r="CV146" s="70">
        <f t="shared" si="414"/>
        <v>295</v>
      </c>
      <c r="CW146" s="70">
        <f t="shared" si="414"/>
        <v>730.5</v>
      </c>
      <c r="CX146" s="70">
        <f t="shared" si="414"/>
        <v>73.75</v>
      </c>
      <c r="CY146" s="70">
        <f t="shared" si="414"/>
        <v>27</v>
      </c>
      <c r="CZ146" s="70">
        <f t="shared" si="414"/>
        <v>0</v>
      </c>
      <c r="DA146" s="70">
        <f t="shared" si="414"/>
        <v>1732</v>
      </c>
      <c r="DB146" s="70">
        <f t="shared" si="414"/>
        <v>162.05000000000001</v>
      </c>
      <c r="DC146" s="70">
        <f t="shared" si="414"/>
        <v>1412.63</v>
      </c>
      <c r="DD146" s="70">
        <f t="shared" si="414"/>
        <v>112.58</v>
      </c>
      <c r="DE146" s="70">
        <f t="shared" si="414"/>
        <v>319.36999999999989</v>
      </c>
      <c r="DF146" s="70">
        <f t="shared" si="414"/>
        <v>49.470000000000013</v>
      </c>
      <c r="DG146" s="70">
        <f t="shared" si="414"/>
        <v>742</v>
      </c>
      <c r="DH146" s="70">
        <f t="shared" si="414"/>
        <v>73.75</v>
      </c>
      <c r="DI146" s="70">
        <f t="shared" si="414"/>
        <v>422.63000000000011</v>
      </c>
      <c r="DJ146" s="70">
        <f t="shared" si="414"/>
        <v>24.279999999999987</v>
      </c>
      <c r="DK146" s="70">
        <f t="shared" si="414"/>
        <v>0</v>
      </c>
      <c r="DL146" s="70">
        <f t="shared" si="414"/>
        <v>0</v>
      </c>
      <c r="DM146" s="70">
        <f t="shared" si="414"/>
        <v>2154.63</v>
      </c>
      <c r="DN146" s="70">
        <f t="shared" si="414"/>
        <v>186.32999999999998</v>
      </c>
      <c r="DO146" s="70">
        <f t="shared" si="414"/>
        <v>2117.65</v>
      </c>
      <c r="DP146" s="70">
        <f t="shared" si="414"/>
        <v>152.49</v>
      </c>
      <c r="DQ146" s="70">
        <f t="shared" si="414"/>
        <v>36.979999999999997</v>
      </c>
      <c r="DR146" s="70">
        <f t="shared" si="414"/>
        <v>33.840000000000003</v>
      </c>
      <c r="DS146" s="70">
        <f t="shared" si="414"/>
        <v>211.76500000000001</v>
      </c>
      <c r="DT146" s="70">
        <f t="shared" si="414"/>
        <v>15.249000000000001</v>
      </c>
      <c r="DU146" s="70">
        <f t="shared" si="414"/>
        <v>174.78500000000003</v>
      </c>
      <c r="DV146" s="70">
        <f t="shared" si="414"/>
        <v>-18.591000000000001</v>
      </c>
      <c r="DW146" s="70">
        <f t="shared" si="414"/>
        <v>0</v>
      </c>
      <c r="DX146" s="70">
        <f t="shared" si="414"/>
        <v>0</v>
      </c>
      <c r="DY146" s="70">
        <f t="shared" si="414"/>
        <v>174.04</v>
      </c>
      <c r="DZ146" s="70">
        <f t="shared" si="414"/>
        <v>0</v>
      </c>
      <c r="EA146" s="70">
        <f t="shared" si="414"/>
        <v>0</v>
      </c>
      <c r="EB146" s="96">
        <f t="shared" si="414"/>
        <v>0</v>
      </c>
      <c r="EC146" s="70">
        <f t="shared" si="414"/>
        <v>2328.67</v>
      </c>
      <c r="ED146" s="70">
        <f t="shared" si="414"/>
        <v>186.32999999999998</v>
      </c>
      <c r="EE146" s="70">
        <f t="shared" si="414"/>
        <v>2304.08</v>
      </c>
      <c r="EF146" s="70">
        <f t="shared" si="414"/>
        <v>163.84</v>
      </c>
      <c r="EG146" s="70" t="e">
        <f t="shared" si="414"/>
        <v>#DIV/0!</v>
      </c>
      <c r="EH146" s="70" t="e">
        <f t="shared" si="414"/>
        <v>#DIV/0!</v>
      </c>
      <c r="EI146" s="70">
        <f t="shared" si="414"/>
        <v>24.59</v>
      </c>
      <c r="EJ146" s="70">
        <f t="shared" si="414"/>
        <v>22.49</v>
      </c>
      <c r="EK146" s="70">
        <f t="shared" si="414"/>
        <v>209.46</v>
      </c>
      <c r="EL146" s="70">
        <f t="shared" si="414"/>
        <v>14.89</v>
      </c>
      <c r="EM146" s="70">
        <f t="shared" si="414"/>
        <v>184.87</v>
      </c>
      <c r="EN146" s="70">
        <f t="shared" si="414"/>
        <v>-7.5999999999999979</v>
      </c>
      <c r="EO146" s="70">
        <f t="shared" si="414"/>
        <v>326.5</v>
      </c>
      <c r="EP146" s="70">
        <f t="shared" si="414"/>
        <v>80</v>
      </c>
      <c r="EQ146" s="66">
        <f t="shared" si="414"/>
        <v>0</v>
      </c>
      <c r="ER146" s="46">
        <f t="shared" si="414"/>
        <v>0</v>
      </c>
      <c r="ES146" s="53"/>
      <c r="ET146" s="53"/>
      <c r="EU146" s="5">
        <f t="shared" si="270"/>
        <v>312.82999999999993</v>
      </c>
      <c r="EV146" s="5">
        <f t="shared" si="270"/>
        <v>28.670000000000016</v>
      </c>
      <c r="EW146" s="46">
        <f t="shared" si="414"/>
        <v>2968</v>
      </c>
      <c r="EX146" s="46">
        <f t="shared" si="414"/>
        <v>295</v>
      </c>
      <c r="EY146" s="46">
        <f t="shared" si="414"/>
        <v>3360</v>
      </c>
      <c r="EZ146" s="46">
        <f t="shared" si="414"/>
        <v>335</v>
      </c>
      <c r="FA146" s="46">
        <f t="shared" si="414"/>
        <v>0</v>
      </c>
    </row>
    <row r="147" spans="1:159" ht="18.75" x14ac:dyDescent="0.25">
      <c r="A147" s="37">
        <v>9</v>
      </c>
      <c r="B147" s="37"/>
      <c r="C147" s="91" t="s">
        <v>136</v>
      </c>
      <c r="D147" s="38" t="s">
        <v>341</v>
      </c>
      <c r="E147" s="39"/>
      <c r="F147" s="40">
        <v>13690.599999999999</v>
      </c>
      <c r="G147" s="40">
        <v>16258.989999999998</v>
      </c>
      <c r="H147" s="40">
        <v>13614.599999999999</v>
      </c>
      <c r="I147" s="40">
        <v>16258.989999999998</v>
      </c>
      <c r="J147" s="41">
        <v>15499.7</v>
      </c>
      <c r="K147" s="41">
        <v>0</v>
      </c>
      <c r="L147" s="41">
        <v>0.3</v>
      </c>
      <c r="M147" s="41">
        <f t="shared" si="367"/>
        <v>15500</v>
      </c>
      <c r="N147" s="41">
        <v>0</v>
      </c>
      <c r="O147" s="41">
        <v>0</v>
      </c>
      <c r="P147" s="41">
        <v>0</v>
      </c>
      <c r="Q147" s="41">
        <f t="shared" ref="Q147:Q155" si="415">N147+O147+P147</f>
        <v>0</v>
      </c>
      <c r="R147" s="41">
        <f t="shared" si="369"/>
        <v>15500</v>
      </c>
      <c r="S147" s="41">
        <v>18500</v>
      </c>
      <c r="T147" s="92"/>
      <c r="U147" s="92"/>
      <c r="V147" s="40">
        <f t="shared" ref="V147:V155" si="416">ROUND(H147*1.0583,2)</f>
        <v>14408.33</v>
      </c>
      <c r="W147" s="40">
        <f t="shared" ref="W147:W155" si="417">ROUND(I147*1.0327,2)</f>
        <v>16790.66</v>
      </c>
      <c r="X147" s="43">
        <f t="shared" si="352"/>
        <v>1091.67</v>
      </c>
      <c r="Y147" s="43">
        <f t="shared" si="352"/>
        <v>1709.3400000000001</v>
      </c>
      <c r="Z147" s="43">
        <v>14408.33</v>
      </c>
      <c r="AA147" s="43"/>
      <c r="AB147" s="43">
        <f t="shared" si="360"/>
        <v>14408.33</v>
      </c>
      <c r="AC147" s="43">
        <f t="shared" si="361"/>
        <v>0</v>
      </c>
      <c r="AD147" s="43">
        <f t="shared" ref="AD147:AE155" si="418">IF(X147&gt;0,V147,R147)</f>
        <v>14408.33</v>
      </c>
      <c r="AE147" s="43">
        <f t="shared" si="418"/>
        <v>16790.66</v>
      </c>
      <c r="AF147" s="43">
        <f t="shared" si="373"/>
        <v>16690.7</v>
      </c>
      <c r="AG147" s="43">
        <f t="shared" si="353"/>
        <v>3602</v>
      </c>
      <c r="AH147" s="43">
        <f t="shared" si="353"/>
        <v>4198</v>
      </c>
      <c r="AI147" s="93">
        <f t="shared" si="354"/>
        <v>1201</v>
      </c>
      <c r="AJ147" s="43">
        <f t="shared" si="354"/>
        <v>1399</v>
      </c>
      <c r="AK147" s="43"/>
      <c r="AL147" s="43"/>
      <c r="AM147" s="43">
        <f t="shared" si="374"/>
        <v>3602.08</v>
      </c>
      <c r="AN147" s="43">
        <f t="shared" si="375"/>
        <v>4088.53</v>
      </c>
      <c r="AO147" s="43"/>
      <c r="AP147" s="43"/>
      <c r="AQ147" s="43">
        <f t="shared" si="355"/>
        <v>7204.08</v>
      </c>
      <c r="AR147" s="43">
        <f t="shared" si="355"/>
        <v>8286.5300000000007</v>
      </c>
      <c r="AS147" s="43"/>
      <c r="AT147" s="43"/>
      <c r="AU147" s="43">
        <f t="shared" si="260"/>
        <v>3602.08</v>
      </c>
      <c r="AV147" s="43">
        <f t="shared" si="260"/>
        <v>4197.67</v>
      </c>
      <c r="AW147" s="43"/>
      <c r="AX147" s="43">
        <v>1000</v>
      </c>
      <c r="AY147" s="43">
        <f t="shared" si="349"/>
        <v>12007.16</v>
      </c>
      <c r="AZ147" s="43">
        <f t="shared" si="349"/>
        <v>14883.2</v>
      </c>
      <c r="BA147" s="43">
        <f t="shared" si="356"/>
        <v>26890.36</v>
      </c>
      <c r="BB147" s="60">
        <v>11384.36</v>
      </c>
      <c r="BC147" s="60">
        <v>14431.39</v>
      </c>
      <c r="BD147" s="60">
        <f t="shared" si="350"/>
        <v>622.79999999999927</v>
      </c>
      <c r="BE147" s="60">
        <f t="shared" si="350"/>
        <v>451.81000000000131</v>
      </c>
      <c r="BF147" s="60">
        <f t="shared" si="351"/>
        <v>2276.87</v>
      </c>
      <c r="BG147" s="60">
        <f t="shared" si="351"/>
        <v>2886.28</v>
      </c>
      <c r="BH147" s="43">
        <v>827.04</v>
      </c>
      <c r="BI147" s="43">
        <v>1165</v>
      </c>
      <c r="BJ147" s="43"/>
      <c r="BK147" s="43"/>
      <c r="BL147" s="43">
        <f t="shared" si="358"/>
        <v>12834.2</v>
      </c>
      <c r="BM147" s="43">
        <f t="shared" si="358"/>
        <v>16048.2</v>
      </c>
      <c r="BN147" s="43">
        <f t="shared" si="376"/>
        <v>28882.400000000001</v>
      </c>
      <c r="BO147" s="43">
        <v>12592.16</v>
      </c>
      <c r="BP147" s="93">
        <v>15992.41</v>
      </c>
      <c r="BQ147" s="43">
        <f t="shared" si="377"/>
        <v>242.04000000000087</v>
      </c>
      <c r="BR147" s="43">
        <f t="shared" si="377"/>
        <v>55.790000000000873</v>
      </c>
      <c r="BS147" s="43">
        <f t="shared" si="378"/>
        <v>1144.74</v>
      </c>
      <c r="BT147" s="43">
        <f t="shared" si="378"/>
        <v>1453.86</v>
      </c>
      <c r="BU147" s="43">
        <f>ROUND(BS147-BQ147,2)</f>
        <v>902.7</v>
      </c>
      <c r="BV147" s="43">
        <f>ROUND(BT147-BR147,2)-39.51</f>
        <v>1358.56</v>
      </c>
      <c r="BW147" s="43">
        <v>200</v>
      </c>
      <c r="BX147" s="43">
        <v>350</v>
      </c>
      <c r="BY147" s="43"/>
      <c r="BZ147" s="43"/>
      <c r="CA147" s="43">
        <v>13936.900000000001</v>
      </c>
      <c r="CB147" s="43">
        <v>17756.760000000002</v>
      </c>
      <c r="CC147" s="92">
        <v>15330.59</v>
      </c>
      <c r="CD147" s="92">
        <v>20420.27</v>
      </c>
      <c r="CE147" s="92">
        <v>1500</v>
      </c>
      <c r="CF147" s="92">
        <v>2500</v>
      </c>
      <c r="CG147" s="92">
        <f t="shared" si="379"/>
        <v>3484.23</v>
      </c>
      <c r="CH147" s="92">
        <f t="shared" si="379"/>
        <v>4439.1899999999996</v>
      </c>
      <c r="CI147" s="43"/>
      <c r="CJ147" s="43"/>
      <c r="CK147" s="43">
        <v>3900</v>
      </c>
      <c r="CL147" s="72">
        <f>5900-900</f>
        <v>5000</v>
      </c>
      <c r="CM147" s="72"/>
      <c r="CN147" s="72"/>
      <c r="CO147" s="43">
        <v>15300</v>
      </c>
      <c r="CP147" s="43">
        <v>19000</v>
      </c>
      <c r="CQ147" s="43">
        <f t="shared" si="380"/>
        <v>15600</v>
      </c>
      <c r="CR147" s="43">
        <f t="shared" si="380"/>
        <v>20000</v>
      </c>
      <c r="CS147" s="43">
        <f t="shared" si="381"/>
        <v>15300</v>
      </c>
      <c r="CT147" s="43">
        <f t="shared" si="381"/>
        <v>19000</v>
      </c>
      <c r="CU147" s="43">
        <f t="shared" si="381"/>
        <v>15300</v>
      </c>
      <c r="CV147" s="43">
        <f t="shared" si="381"/>
        <v>19000</v>
      </c>
      <c r="CW147" s="43">
        <f t="shared" si="382"/>
        <v>3825</v>
      </c>
      <c r="CX147" s="43">
        <f t="shared" si="382"/>
        <v>4750</v>
      </c>
      <c r="CY147" s="43"/>
      <c r="CZ147" s="43"/>
      <c r="DA147" s="43">
        <f t="shared" si="383"/>
        <v>9225</v>
      </c>
      <c r="DB147" s="43">
        <f t="shared" si="383"/>
        <v>12250</v>
      </c>
      <c r="DC147" s="43">
        <v>8206.1200000000008</v>
      </c>
      <c r="DD147" s="43">
        <v>12189.88</v>
      </c>
      <c r="DE147" s="43">
        <f t="shared" si="384"/>
        <v>1018.8799999999992</v>
      </c>
      <c r="DF147" s="43">
        <f t="shared" si="384"/>
        <v>60.1200000000008</v>
      </c>
      <c r="DG147" s="43">
        <f t="shared" ref="DG147:DH155" si="419">ROUND(0.25*(MIN(CU147,EW147)),2)</f>
        <v>3825</v>
      </c>
      <c r="DH147" s="43">
        <f t="shared" si="419"/>
        <v>4750</v>
      </c>
      <c r="DI147" s="43">
        <f t="shared" ref="DI147:DJ155" si="420">+DG147-DE147</f>
        <v>2806.1200000000008</v>
      </c>
      <c r="DJ147" s="43">
        <f t="shared" si="420"/>
        <v>4689.8799999999992</v>
      </c>
      <c r="DK147" s="43">
        <v>0</v>
      </c>
      <c r="DL147" s="43">
        <f>300+400</f>
        <v>700</v>
      </c>
      <c r="DM147" s="43">
        <f t="shared" si="385"/>
        <v>12031.12</v>
      </c>
      <c r="DN147" s="43">
        <f t="shared" si="385"/>
        <v>17639.879999999997</v>
      </c>
      <c r="DO147" s="94">
        <v>11829.5</v>
      </c>
      <c r="DP147" s="95">
        <v>17272.689999999999</v>
      </c>
      <c r="DQ147" s="60">
        <f t="shared" si="386"/>
        <v>201.62</v>
      </c>
      <c r="DR147" s="60">
        <f t="shared" si="386"/>
        <v>367.19</v>
      </c>
      <c r="DS147" s="60">
        <f t="shared" si="387"/>
        <v>1182.95</v>
      </c>
      <c r="DT147" s="60">
        <f t="shared" si="387"/>
        <v>1727.2689999999998</v>
      </c>
      <c r="DU147" s="60">
        <f t="shared" si="388"/>
        <v>981.33</v>
      </c>
      <c r="DV147" s="60">
        <f t="shared" si="388"/>
        <v>1360.0789999999997</v>
      </c>
      <c r="DW147" s="60"/>
      <c r="DX147" s="60">
        <v>500</v>
      </c>
      <c r="DY147" s="60">
        <v>1100</v>
      </c>
      <c r="DZ147" s="60">
        <f t="shared" si="389"/>
        <v>1860.08</v>
      </c>
      <c r="EA147" s="60"/>
      <c r="EB147" s="60"/>
      <c r="EC147" s="43">
        <f t="shared" si="390"/>
        <v>13131.12</v>
      </c>
      <c r="ED147" s="43">
        <f t="shared" si="390"/>
        <v>19499.96</v>
      </c>
      <c r="EE147" s="43">
        <v>13032.15</v>
      </c>
      <c r="EF147" s="43">
        <v>19123.060000000001</v>
      </c>
      <c r="EG147" s="43">
        <f t="shared" si="245"/>
        <v>99.25</v>
      </c>
      <c r="EH147" s="43">
        <f t="shared" si="245"/>
        <v>98.07</v>
      </c>
      <c r="EI147" s="43">
        <f t="shared" si="391"/>
        <v>98.97</v>
      </c>
      <c r="EJ147" s="43">
        <f t="shared" si="391"/>
        <v>376.9</v>
      </c>
      <c r="EK147" s="43">
        <f t="shared" si="392"/>
        <v>1184.74</v>
      </c>
      <c r="EL147" s="43">
        <f t="shared" si="392"/>
        <v>1738.46</v>
      </c>
      <c r="EM147" s="43">
        <f t="shared" si="393"/>
        <v>1085.77</v>
      </c>
      <c r="EN147" s="43">
        <f t="shared" si="393"/>
        <v>1361.56</v>
      </c>
      <c r="EO147" s="43">
        <v>1100</v>
      </c>
      <c r="EP147" s="43">
        <v>1700</v>
      </c>
      <c r="EQ147" s="5"/>
      <c r="ER147" s="5"/>
      <c r="ES147" s="5"/>
      <c r="ET147" s="5"/>
      <c r="EU147" s="5">
        <f t="shared" si="270"/>
        <v>1068.8799999999992</v>
      </c>
      <c r="EV147" s="5">
        <f t="shared" si="270"/>
        <v>800.04000000000087</v>
      </c>
      <c r="EW147" s="5">
        <v>15300</v>
      </c>
      <c r="EX147" s="5">
        <v>22000</v>
      </c>
      <c r="EY147" s="5">
        <v>16000</v>
      </c>
      <c r="EZ147" s="5">
        <v>23000</v>
      </c>
    </row>
    <row r="148" spans="1:159" ht="37.5" x14ac:dyDescent="0.25">
      <c r="A148" s="37">
        <v>10</v>
      </c>
      <c r="B148" s="37"/>
      <c r="C148" s="91" t="s">
        <v>136</v>
      </c>
      <c r="D148" s="38" t="s">
        <v>342</v>
      </c>
      <c r="E148" s="39"/>
      <c r="F148" s="40">
        <v>0</v>
      </c>
      <c r="G148" s="40">
        <v>0</v>
      </c>
      <c r="H148" s="40">
        <v>0</v>
      </c>
      <c r="I148" s="40">
        <v>0</v>
      </c>
      <c r="J148" s="41">
        <v>0</v>
      </c>
      <c r="K148" s="41">
        <v>0</v>
      </c>
      <c r="L148" s="41">
        <v>0</v>
      </c>
      <c r="M148" s="41">
        <f t="shared" si="367"/>
        <v>0</v>
      </c>
      <c r="N148" s="41">
        <v>0</v>
      </c>
      <c r="O148" s="41">
        <v>0</v>
      </c>
      <c r="P148" s="41">
        <v>0</v>
      </c>
      <c r="Q148" s="41">
        <f t="shared" si="415"/>
        <v>0</v>
      </c>
      <c r="R148" s="41">
        <f t="shared" si="369"/>
        <v>0</v>
      </c>
      <c r="S148" s="41">
        <v>0</v>
      </c>
      <c r="T148" s="92"/>
      <c r="U148" s="92"/>
      <c r="V148" s="40">
        <f t="shared" si="416"/>
        <v>0</v>
      </c>
      <c r="W148" s="40">
        <f t="shared" si="417"/>
        <v>0</v>
      </c>
      <c r="X148" s="43">
        <f t="shared" si="352"/>
        <v>0</v>
      </c>
      <c r="Y148" s="43">
        <f t="shared" si="352"/>
        <v>0</v>
      </c>
      <c r="Z148" s="43">
        <v>0</v>
      </c>
      <c r="AA148" s="43"/>
      <c r="AB148" s="43">
        <f t="shared" si="360"/>
        <v>0</v>
      </c>
      <c r="AC148" s="43">
        <f t="shared" si="361"/>
        <v>0</v>
      </c>
      <c r="AD148" s="43">
        <f t="shared" si="418"/>
        <v>0</v>
      </c>
      <c r="AE148" s="43">
        <f t="shared" si="418"/>
        <v>0</v>
      </c>
      <c r="AF148" s="43">
        <f t="shared" si="373"/>
        <v>0</v>
      </c>
      <c r="AG148" s="43">
        <f t="shared" si="353"/>
        <v>0</v>
      </c>
      <c r="AH148" s="43">
        <f t="shared" si="353"/>
        <v>0</v>
      </c>
      <c r="AI148" s="93">
        <f t="shared" si="354"/>
        <v>0</v>
      </c>
      <c r="AJ148" s="43">
        <f t="shared" si="354"/>
        <v>0</v>
      </c>
      <c r="AK148" s="43"/>
      <c r="AL148" s="43"/>
      <c r="AM148" s="43">
        <f t="shared" si="374"/>
        <v>0</v>
      </c>
      <c r="AN148" s="43">
        <f t="shared" si="375"/>
        <v>0</v>
      </c>
      <c r="AO148" s="43"/>
      <c r="AP148" s="43"/>
      <c r="AQ148" s="43">
        <f t="shared" si="355"/>
        <v>0</v>
      </c>
      <c r="AR148" s="43">
        <f t="shared" si="355"/>
        <v>0</v>
      </c>
      <c r="AS148" s="43"/>
      <c r="AT148" s="43"/>
      <c r="AU148" s="43">
        <f t="shared" si="260"/>
        <v>0</v>
      </c>
      <c r="AV148" s="43">
        <f t="shared" si="260"/>
        <v>0</v>
      </c>
      <c r="AW148" s="43"/>
      <c r="AX148" s="43"/>
      <c r="AY148" s="43">
        <f t="shared" si="349"/>
        <v>0</v>
      </c>
      <c r="AZ148" s="43">
        <f t="shared" si="349"/>
        <v>0</v>
      </c>
      <c r="BA148" s="43">
        <f t="shared" si="356"/>
        <v>0</v>
      </c>
      <c r="BB148" s="60">
        <v>0</v>
      </c>
      <c r="BC148" s="60"/>
      <c r="BD148" s="60">
        <f t="shared" si="350"/>
        <v>0</v>
      </c>
      <c r="BE148" s="60">
        <f t="shared" si="350"/>
        <v>0</v>
      </c>
      <c r="BF148" s="60">
        <f t="shared" si="351"/>
        <v>0</v>
      </c>
      <c r="BG148" s="60">
        <f t="shared" si="351"/>
        <v>0</v>
      </c>
      <c r="BH148" s="43">
        <v>0</v>
      </c>
      <c r="BI148" s="43">
        <v>0</v>
      </c>
      <c r="BJ148" s="43"/>
      <c r="BK148" s="43"/>
      <c r="BL148" s="43">
        <f t="shared" si="358"/>
        <v>0</v>
      </c>
      <c r="BM148" s="43">
        <f t="shared" si="358"/>
        <v>0</v>
      </c>
      <c r="BN148" s="43">
        <f t="shared" si="376"/>
        <v>0</v>
      </c>
      <c r="BO148" s="43">
        <v>0</v>
      </c>
      <c r="BP148" s="93"/>
      <c r="BQ148" s="43">
        <f t="shared" si="377"/>
        <v>0</v>
      </c>
      <c r="BR148" s="43">
        <f t="shared" si="377"/>
        <v>0</v>
      </c>
      <c r="BS148" s="43">
        <f t="shared" si="378"/>
        <v>0</v>
      </c>
      <c r="BT148" s="43">
        <f t="shared" si="378"/>
        <v>0</v>
      </c>
      <c r="BU148" s="43">
        <f t="shared" ref="BU148:BU183" si="421">BS148-BQ148</f>
        <v>0</v>
      </c>
      <c r="BV148" s="43">
        <f t="shared" ref="BV148:BV155" si="422">ROUND(BT148-BR148,2)</f>
        <v>0</v>
      </c>
      <c r="BW148" s="43"/>
      <c r="BX148" s="43"/>
      <c r="BY148" s="43"/>
      <c r="BZ148" s="43"/>
      <c r="CA148" s="43">
        <v>0</v>
      </c>
      <c r="CB148" s="43">
        <v>0</v>
      </c>
      <c r="CC148" s="92">
        <v>0</v>
      </c>
      <c r="CD148" s="92">
        <v>0</v>
      </c>
      <c r="CE148" s="92">
        <v>0</v>
      </c>
      <c r="CF148" s="92">
        <v>0</v>
      </c>
      <c r="CG148" s="92">
        <f t="shared" si="379"/>
        <v>0</v>
      </c>
      <c r="CH148" s="92">
        <f t="shared" si="379"/>
        <v>0</v>
      </c>
      <c r="CI148" s="43"/>
      <c r="CJ148" s="43"/>
      <c r="CK148" s="43"/>
      <c r="CL148" s="43"/>
      <c r="CM148" s="43"/>
      <c r="CN148" s="43"/>
      <c r="CO148" s="43"/>
      <c r="CP148" s="43"/>
      <c r="CQ148" s="43">
        <f t="shared" si="380"/>
        <v>0</v>
      </c>
      <c r="CR148" s="43">
        <f t="shared" si="380"/>
        <v>0</v>
      </c>
      <c r="CS148" s="43">
        <f t="shared" si="381"/>
        <v>0</v>
      </c>
      <c r="CT148" s="43">
        <f t="shared" si="381"/>
        <v>0</v>
      </c>
      <c r="CU148" s="43">
        <f t="shared" si="381"/>
        <v>0</v>
      </c>
      <c r="CV148" s="43">
        <f t="shared" si="381"/>
        <v>0</v>
      </c>
      <c r="CW148" s="43">
        <f t="shared" si="382"/>
        <v>0</v>
      </c>
      <c r="CX148" s="43">
        <f t="shared" si="382"/>
        <v>0</v>
      </c>
      <c r="CY148" s="43"/>
      <c r="CZ148" s="43"/>
      <c r="DA148" s="43">
        <f t="shared" si="383"/>
        <v>0</v>
      </c>
      <c r="DB148" s="43">
        <f t="shared" si="383"/>
        <v>0</v>
      </c>
      <c r="DC148" s="43">
        <v>0</v>
      </c>
      <c r="DD148" s="43">
        <v>0</v>
      </c>
      <c r="DE148" s="43">
        <f t="shared" si="384"/>
        <v>0</v>
      </c>
      <c r="DF148" s="43">
        <f t="shared" si="384"/>
        <v>0</v>
      </c>
      <c r="DG148" s="43">
        <f t="shared" si="419"/>
        <v>0</v>
      </c>
      <c r="DH148" s="43">
        <f t="shared" si="419"/>
        <v>0</v>
      </c>
      <c r="DI148" s="43">
        <f t="shared" si="420"/>
        <v>0</v>
      </c>
      <c r="DJ148" s="43">
        <f t="shared" si="420"/>
        <v>0</v>
      </c>
      <c r="DK148" s="43"/>
      <c r="DL148" s="43"/>
      <c r="DM148" s="43">
        <f t="shared" si="385"/>
        <v>0</v>
      </c>
      <c r="DN148" s="43">
        <f t="shared" si="385"/>
        <v>0</v>
      </c>
      <c r="DO148" s="94">
        <v>0</v>
      </c>
      <c r="DP148" s="94">
        <v>0</v>
      </c>
      <c r="DQ148" s="60">
        <f t="shared" si="386"/>
        <v>0</v>
      </c>
      <c r="DR148" s="60">
        <f t="shared" si="386"/>
        <v>0</v>
      </c>
      <c r="DS148" s="60">
        <f t="shared" si="387"/>
        <v>0</v>
      </c>
      <c r="DT148" s="60">
        <f t="shared" si="387"/>
        <v>0</v>
      </c>
      <c r="DU148" s="60">
        <f t="shared" si="388"/>
        <v>0</v>
      </c>
      <c r="DV148" s="60">
        <f t="shared" si="388"/>
        <v>0</v>
      </c>
      <c r="DW148" s="60"/>
      <c r="DX148" s="60"/>
      <c r="DY148" s="60">
        <f t="shared" si="389"/>
        <v>0</v>
      </c>
      <c r="DZ148" s="60">
        <f t="shared" si="389"/>
        <v>0</v>
      </c>
      <c r="EA148" s="60"/>
      <c r="EB148" s="60"/>
      <c r="EC148" s="43">
        <f t="shared" si="390"/>
        <v>0</v>
      </c>
      <c r="ED148" s="43">
        <f t="shared" si="390"/>
        <v>0</v>
      </c>
      <c r="EE148" s="43"/>
      <c r="EF148" s="43"/>
      <c r="EG148" s="43" t="e">
        <f t="shared" si="245"/>
        <v>#DIV/0!</v>
      </c>
      <c r="EH148" s="43" t="e">
        <f t="shared" si="245"/>
        <v>#DIV/0!</v>
      </c>
      <c r="EI148" s="43">
        <f t="shared" si="391"/>
        <v>0</v>
      </c>
      <c r="EJ148" s="43">
        <f t="shared" si="391"/>
        <v>0</v>
      </c>
      <c r="EK148" s="43">
        <f t="shared" si="392"/>
        <v>0</v>
      </c>
      <c r="EL148" s="43">
        <f t="shared" si="392"/>
        <v>0</v>
      </c>
      <c r="EM148" s="43">
        <f t="shared" si="393"/>
        <v>0</v>
      </c>
      <c r="EN148" s="43">
        <f t="shared" si="393"/>
        <v>0</v>
      </c>
      <c r="EO148" s="43">
        <v>0</v>
      </c>
      <c r="EP148" s="43">
        <v>0</v>
      </c>
      <c r="EQ148" s="5"/>
      <c r="ER148" s="5"/>
      <c r="ES148" s="5"/>
      <c r="ET148" s="5"/>
      <c r="EU148" s="5">
        <f t="shared" si="270"/>
        <v>0</v>
      </c>
      <c r="EV148" s="5">
        <f t="shared" si="270"/>
        <v>0</v>
      </c>
      <c r="EW148" s="5">
        <v>0</v>
      </c>
      <c r="EX148" s="5">
        <v>0</v>
      </c>
      <c r="EY148" s="5">
        <v>0</v>
      </c>
      <c r="EZ148" s="5">
        <v>0</v>
      </c>
    </row>
    <row r="149" spans="1:159" ht="37.5" x14ac:dyDescent="0.25">
      <c r="A149" s="37">
        <v>11</v>
      </c>
      <c r="B149" s="37"/>
      <c r="C149" s="91" t="s">
        <v>136</v>
      </c>
      <c r="D149" s="38" t="s">
        <v>343</v>
      </c>
      <c r="E149" s="39"/>
      <c r="F149" s="40">
        <v>0</v>
      </c>
      <c r="G149" s="40">
        <v>0</v>
      </c>
      <c r="H149" s="40">
        <v>0</v>
      </c>
      <c r="I149" s="40">
        <v>0</v>
      </c>
      <c r="J149" s="41"/>
      <c r="K149" s="41"/>
      <c r="L149" s="41"/>
      <c r="M149" s="41">
        <f t="shared" si="367"/>
        <v>0</v>
      </c>
      <c r="N149" s="41"/>
      <c r="O149" s="41"/>
      <c r="P149" s="41"/>
      <c r="Q149" s="41">
        <f t="shared" si="415"/>
        <v>0</v>
      </c>
      <c r="R149" s="41">
        <f t="shared" si="369"/>
        <v>0</v>
      </c>
      <c r="S149" s="41"/>
      <c r="T149" s="92"/>
      <c r="U149" s="92"/>
      <c r="V149" s="40">
        <f t="shared" si="416"/>
        <v>0</v>
      </c>
      <c r="W149" s="40">
        <f t="shared" si="417"/>
        <v>0</v>
      </c>
      <c r="X149" s="43">
        <f t="shared" si="352"/>
        <v>0</v>
      </c>
      <c r="Y149" s="43">
        <f t="shared" si="352"/>
        <v>0</v>
      </c>
      <c r="Z149" s="43">
        <v>0</v>
      </c>
      <c r="AA149" s="43"/>
      <c r="AB149" s="43">
        <f t="shared" si="360"/>
        <v>0</v>
      </c>
      <c r="AC149" s="43">
        <f t="shared" si="361"/>
        <v>0</v>
      </c>
      <c r="AD149" s="43">
        <f t="shared" si="418"/>
        <v>0</v>
      </c>
      <c r="AE149" s="43">
        <f t="shared" si="418"/>
        <v>0</v>
      </c>
      <c r="AF149" s="43">
        <f t="shared" si="373"/>
        <v>0</v>
      </c>
      <c r="AG149" s="43">
        <f t="shared" si="353"/>
        <v>0</v>
      </c>
      <c r="AH149" s="43">
        <f t="shared" si="353"/>
        <v>0</v>
      </c>
      <c r="AI149" s="93">
        <f t="shared" si="354"/>
        <v>0</v>
      </c>
      <c r="AJ149" s="43">
        <f t="shared" si="354"/>
        <v>0</v>
      </c>
      <c r="AK149" s="43"/>
      <c r="AL149" s="43"/>
      <c r="AM149" s="43">
        <f t="shared" si="374"/>
        <v>0</v>
      </c>
      <c r="AN149" s="43">
        <f t="shared" si="375"/>
        <v>0</v>
      </c>
      <c r="AO149" s="43"/>
      <c r="AP149" s="43"/>
      <c r="AQ149" s="43">
        <f t="shared" si="355"/>
        <v>0</v>
      </c>
      <c r="AR149" s="43">
        <f t="shared" si="355"/>
        <v>0</v>
      </c>
      <c r="AS149" s="43"/>
      <c r="AT149" s="43"/>
      <c r="AU149" s="43">
        <f t="shared" si="260"/>
        <v>0</v>
      </c>
      <c r="AV149" s="43">
        <f t="shared" si="260"/>
        <v>0</v>
      </c>
      <c r="AW149" s="43"/>
      <c r="AX149" s="43"/>
      <c r="AY149" s="43">
        <f t="shared" si="349"/>
        <v>0</v>
      </c>
      <c r="AZ149" s="43">
        <f t="shared" si="349"/>
        <v>0</v>
      </c>
      <c r="BA149" s="43">
        <f t="shared" si="356"/>
        <v>0</v>
      </c>
      <c r="BB149" s="60">
        <v>0</v>
      </c>
      <c r="BC149" s="60"/>
      <c r="BD149" s="60">
        <f t="shared" si="350"/>
        <v>0</v>
      </c>
      <c r="BE149" s="60">
        <f t="shared" si="350"/>
        <v>0</v>
      </c>
      <c r="BF149" s="60">
        <f t="shared" si="351"/>
        <v>0</v>
      </c>
      <c r="BG149" s="60">
        <f t="shared" si="351"/>
        <v>0</v>
      </c>
      <c r="BH149" s="43">
        <v>0</v>
      </c>
      <c r="BI149" s="43">
        <v>0</v>
      </c>
      <c r="BJ149" s="43"/>
      <c r="BK149" s="43"/>
      <c r="BL149" s="43">
        <f t="shared" si="358"/>
        <v>0</v>
      </c>
      <c r="BM149" s="43">
        <f t="shared" si="358"/>
        <v>0</v>
      </c>
      <c r="BN149" s="43">
        <f t="shared" si="376"/>
        <v>0</v>
      </c>
      <c r="BO149" s="43">
        <v>0</v>
      </c>
      <c r="BP149" s="93"/>
      <c r="BQ149" s="43">
        <f t="shared" si="377"/>
        <v>0</v>
      </c>
      <c r="BR149" s="43">
        <f t="shared" si="377"/>
        <v>0</v>
      </c>
      <c r="BS149" s="43">
        <f t="shared" si="378"/>
        <v>0</v>
      </c>
      <c r="BT149" s="43">
        <f t="shared" si="378"/>
        <v>0</v>
      </c>
      <c r="BU149" s="43">
        <f t="shared" si="421"/>
        <v>0</v>
      </c>
      <c r="BV149" s="43">
        <f t="shared" si="422"/>
        <v>0</v>
      </c>
      <c r="BW149" s="43"/>
      <c r="BX149" s="43"/>
      <c r="BY149" s="43"/>
      <c r="BZ149" s="43"/>
      <c r="CA149" s="43">
        <v>0</v>
      </c>
      <c r="CB149" s="43">
        <v>0</v>
      </c>
      <c r="CC149" s="92">
        <v>0</v>
      </c>
      <c r="CD149" s="92">
        <v>0</v>
      </c>
      <c r="CE149" s="92">
        <v>0</v>
      </c>
      <c r="CF149" s="92">
        <v>0</v>
      </c>
      <c r="CG149" s="92">
        <f t="shared" si="379"/>
        <v>0</v>
      </c>
      <c r="CH149" s="92">
        <f t="shared" si="379"/>
        <v>0</v>
      </c>
      <c r="CI149" s="43"/>
      <c r="CJ149" s="43"/>
      <c r="CK149" s="43"/>
      <c r="CL149" s="43"/>
      <c r="CM149" s="43"/>
      <c r="CN149" s="43"/>
      <c r="CO149" s="43"/>
      <c r="CP149" s="43"/>
      <c r="CQ149" s="43">
        <f t="shared" si="380"/>
        <v>0</v>
      </c>
      <c r="CR149" s="43">
        <f t="shared" si="380"/>
        <v>0</v>
      </c>
      <c r="CS149" s="43">
        <f t="shared" si="381"/>
        <v>0</v>
      </c>
      <c r="CT149" s="43">
        <f t="shared" si="381"/>
        <v>0</v>
      </c>
      <c r="CU149" s="43">
        <f t="shared" si="381"/>
        <v>0</v>
      </c>
      <c r="CV149" s="43">
        <f t="shared" si="381"/>
        <v>0</v>
      </c>
      <c r="CW149" s="43">
        <f t="shared" si="382"/>
        <v>0</v>
      </c>
      <c r="CX149" s="43">
        <f t="shared" si="382"/>
        <v>0</v>
      </c>
      <c r="CY149" s="43"/>
      <c r="CZ149" s="43"/>
      <c r="DA149" s="43">
        <f t="shared" si="383"/>
        <v>0</v>
      </c>
      <c r="DB149" s="43">
        <f t="shared" si="383"/>
        <v>0</v>
      </c>
      <c r="DC149" s="43">
        <v>0</v>
      </c>
      <c r="DD149" s="43">
        <v>0</v>
      </c>
      <c r="DE149" s="43">
        <f t="shared" si="384"/>
        <v>0</v>
      </c>
      <c r="DF149" s="43">
        <f t="shared" si="384"/>
        <v>0</v>
      </c>
      <c r="DG149" s="43">
        <f t="shared" si="419"/>
        <v>0</v>
      </c>
      <c r="DH149" s="43">
        <f t="shared" si="419"/>
        <v>0</v>
      </c>
      <c r="DI149" s="43">
        <f t="shared" si="420"/>
        <v>0</v>
      </c>
      <c r="DJ149" s="43">
        <f t="shared" si="420"/>
        <v>0</v>
      </c>
      <c r="DK149" s="43"/>
      <c r="DL149" s="43"/>
      <c r="DM149" s="43">
        <f t="shared" si="385"/>
        <v>0</v>
      </c>
      <c r="DN149" s="43">
        <f t="shared" si="385"/>
        <v>0</v>
      </c>
      <c r="DO149" s="94">
        <v>0</v>
      </c>
      <c r="DP149" s="94">
        <v>0</v>
      </c>
      <c r="DQ149" s="60">
        <f t="shared" si="386"/>
        <v>0</v>
      </c>
      <c r="DR149" s="60">
        <f t="shared" si="386"/>
        <v>0</v>
      </c>
      <c r="DS149" s="60">
        <f t="shared" si="387"/>
        <v>0</v>
      </c>
      <c r="DT149" s="60">
        <f t="shared" si="387"/>
        <v>0</v>
      </c>
      <c r="DU149" s="60">
        <f t="shared" si="388"/>
        <v>0</v>
      </c>
      <c r="DV149" s="60">
        <f t="shared" si="388"/>
        <v>0</v>
      </c>
      <c r="DW149" s="60"/>
      <c r="DX149" s="60"/>
      <c r="DY149" s="60">
        <f t="shared" si="389"/>
        <v>0</v>
      </c>
      <c r="DZ149" s="60">
        <f t="shared" si="389"/>
        <v>0</v>
      </c>
      <c r="EA149" s="60"/>
      <c r="EB149" s="60"/>
      <c r="EC149" s="43">
        <f t="shared" si="390"/>
        <v>0</v>
      </c>
      <c r="ED149" s="43">
        <f t="shared" si="390"/>
        <v>0</v>
      </c>
      <c r="EE149" s="43"/>
      <c r="EF149" s="43"/>
      <c r="EG149" s="43" t="e">
        <f t="shared" si="245"/>
        <v>#DIV/0!</v>
      </c>
      <c r="EH149" s="43" t="e">
        <f t="shared" si="245"/>
        <v>#DIV/0!</v>
      </c>
      <c r="EI149" s="43">
        <f t="shared" si="391"/>
        <v>0</v>
      </c>
      <c r="EJ149" s="43">
        <f t="shared" si="391"/>
        <v>0</v>
      </c>
      <c r="EK149" s="43">
        <f t="shared" si="392"/>
        <v>0</v>
      </c>
      <c r="EL149" s="43">
        <f t="shared" si="392"/>
        <v>0</v>
      </c>
      <c r="EM149" s="43">
        <f t="shared" si="393"/>
        <v>0</v>
      </c>
      <c r="EN149" s="43">
        <f t="shared" si="393"/>
        <v>0</v>
      </c>
      <c r="EO149" s="43">
        <v>0</v>
      </c>
      <c r="EP149" s="43">
        <v>0</v>
      </c>
      <c r="EQ149" s="5"/>
      <c r="ER149" s="5"/>
      <c r="ES149" s="5"/>
      <c r="ET149" s="5"/>
      <c r="EU149" s="5">
        <f t="shared" si="270"/>
        <v>0</v>
      </c>
      <c r="EV149" s="5">
        <f t="shared" si="270"/>
        <v>0</v>
      </c>
      <c r="EW149" s="5">
        <v>0</v>
      </c>
      <c r="EX149" s="5">
        <v>0</v>
      </c>
      <c r="EY149" s="5">
        <v>0</v>
      </c>
      <c r="EZ149" s="5">
        <v>0</v>
      </c>
    </row>
    <row r="150" spans="1:159" ht="37.5" x14ac:dyDescent="0.25">
      <c r="A150" s="37">
        <v>12</v>
      </c>
      <c r="B150" s="37"/>
      <c r="C150" s="91" t="s">
        <v>136</v>
      </c>
      <c r="D150" s="38" t="s">
        <v>344</v>
      </c>
      <c r="E150" s="39"/>
      <c r="F150" s="40">
        <v>0</v>
      </c>
      <c r="G150" s="40">
        <v>0</v>
      </c>
      <c r="H150" s="40">
        <v>0</v>
      </c>
      <c r="I150" s="40">
        <v>0</v>
      </c>
      <c r="J150" s="41"/>
      <c r="K150" s="41"/>
      <c r="L150" s="41"/>
      <c r="M150" s="41">
        <f t="shared" si="367"/>
        <v>0</v>
      </c>
      <c r="N150" s="41"/>
      <c r="O150" s="41"/>
      <c r="P150" s="41"/>
      <c r="Q150" s="41">
        <f t="shared" si="415"/>
        <v>0</v>
      </c>
      <c r="R150" s="41">
        <f t="shared" si="369"/>
        <v>0</v>
      </c>
      <c r="S150" s="41"/>
      <c r="T150" s="92"/>
      <c r="U150" s="92"/>
      <c r="V150" s="40">
        <f t="shared" si="416"/>
        <v>0</v>
      </c>
      <c r="W150" s="40">
        <f t="shared" si="417"/>
        <v>0</v>
      </c>
      <c r="X150" s="43">
        <f t="shared" si="352"/>
        <v>0</v>
      </c>
      <c r="Y150" s="43">
        <f t="shared" si="352"/>
        <v>0</v>
      </c>
      <c r="Z150" s="43">
        <v>0</v>
      </c>
      <c r="AA150" s="43"/>
      <c r="AB150" s="43">
        <f t="shared" si="360"/>
        <v>0</v>
      </c>
      <c r="AC150" s="43">
        <f t="shared" si="361"/>
        <v>0</v>
      </c>
      <c r="AD150" s="43">
        <f t="shared" si="418"/>
        <v>0</v>
      </c>
      <c r="AE150" s="43">
        <f t="shared" si="418"/>
        <v>0</v>
      </c>
      <c r="AF150" s="43">
        <f t="shared" si="373"/>
        <v>0</v>
      </c>
      <c r="AG150" s="43">
        <f t="shared" si="353"/>
        <v>0</v>
      </c>
      <c r="AH150" s="43">
        <f t="shared" si="353"/>
        <v>0</v>
      </c>
      <c r="AI150" s="93">
        <f t="shared" si="354"/>
        <v>0</v>
      </c>
      <c r="AJ150" s="43">
        <f t="shared" si="354"/>
        <v>0</v>
      </c>
      <c r="AK150" s="43"/>
      <c r="AL150" s="43"/>
      <c r="AM150" s="43">
        <f t="shared" si="374"/>
        <v>0</v>
      </c>
      <c r="AN150" s="43">
        <f t="shared" si="375"/>
        <v>0</v>
      </c>
      <c r="AO150" s="43"/>
      <c r="AP150" s="43"/>
      <c r="AQ150" s="43">
        <f t="shared" si="355"/>
        <v>0</v>
      </c>
      <c r="AR150" s="43">
        <f t="shared" si="355"/>
        <v>0</v>
      </c>
      <c r="AS150" s="43"/>
      <c r="AT150" s="43"/>
      <c r="AU150" s="43">
        <f t="shared" si="260"/>
        <v>0</v>
      </c>
      <c r="AV150" s="43">
        <f t="shared" si="260"/>
        <v>0</v>
      </c>
      <c r="AW150" s="43"/>
      <c r="AX150" s="43"/>
      <c r="AY150" s="43">
        <f t="shared" si="349"/>
        <v>0</v>
      </c>
      <c r="AZ150" s="43">
        <f t="shared" si="349"/>
        <v>0</v>
      </c>
      <c r="BA150" s="43">
        <f t="shared" si="356"/>
        <v>0</v>
      </c>
      <c r="BB150" s="60">
        <v>0</v>
      </c>
      <c r="BC150" s="60"/>
      <c r="BD150" s="60">
        <f t="shared" si="350"/>
        <v>0</v>
      </c>
      <c r="BE150" s="60">
        <f t="shared" si="350"/>
        <v>0</v>
      </c>
      <c r="BF150" s="60">
        <f t="shared" si="351"/>
        <v>0</v>
      </c>
      <c r="BG150" s="60">
        <f t="shared" si="351"/>
        <v>0</v>
      </c>
      <c r="BH150" s="43">
        <v>0</v>
      </c>
      <c r="BI150" s="43">
        <v>0</v>
      </c>
      <c r="BJ150" s="43"/>
      <c r="BK150" s="43"/>
      <c r="BL150" s="43">
        <f t="shared" si="358"/>
        <v>0</v>
      </c>
      <c r="BM150" s="43">
        <f t="shared" si="358"/>
        <v>0</v>
      </c>
      <c r="BN150" s="43">
        <f t="shared" si="376"/>
        <v>0</v>
      </c>
      <c r="BO150" s="43">
        <v>0</v>
      </c>
      <c r="BP150" s="93"/>
      <c r="BQ150" s="43">
        <f t="shared" si="377"/>
        <v>0</v>
      </c>
      <c r="BR150" s="43">
        <f t="shared" si="377"/>
        <v>0</v>
      </c>
      <c r="BS150" s="43">
        <f t="shared" si="378"/>
        <v>0</v>
      </c>
      <c r="BT150" s="43">
        <f t="shared" si="378"/>
        <v>0</v>
      </c>
      <c r="BU150" s="43">
        <f t="shared" si="421"/>
        <v>0</v>
      </c>
      <c r="BV150" s="43">
        <f t="shared" si="422"/>
        <v>0</v>
      </c>
      <c r="BW150" s="43"/>
      <c r="BX150" s="43"/>
      <c r="BY150" s="43"/>
      <c r="BZ150" s="43"/>
      <c r="CA150" s="43">
        <v>0</v>
      </c>
      <c r="CB150" s="43">
        <v>0</v>
      </c>
      <c r="CC150" s="92">
        <v>0</v>
      </c>
      <c r="CD150" s="92">
        <v>0</v>
      </c>
      <c r="CE150" s="92">
        <v>0</v>
      </c>
      <c r="CF150" s="92">
        <v>0</v>
      </c>
      <c r="CG150" s="92">
        <f t="shared" si="379"/>
        <v>0</v>
      </c>
      <c r="CH150" s="92">
        <f t="shared" si="379"/>
        <v>0</v>
      </c>
      <c r="CI150" s="43"/>
      <c r="CJ150" s="43"/>
      <c r="CK150" s="43"/>
      <c r="CL150" s="43"/>
      <c r="CM150" s="43"/>
      <c r="CN150" s="43"/>
      <c r="CO150" s="43"/>
      <c r="CP150" s="43"/>
      <c r="CQ150" s="43">
        <f t="shared" si="380"/>
        <v>0</v>
      </c>
      <c r="CR150" s="43">
        <f t="shared" si="380"/>
        <v>0</v>
      </c>
      <c r="CS150" s="43">
        <f t="shared" si="381"/>
        <v>0</v>
      </c>
      <c r="CT150" s="43">
        <f t="shared" si="381"/>
        <v>0</v>
      </c>
      <c r="CU150" s="43">
        <f t="shared" si="381"/>
        <v>0</v>
      </c>
      <c r="CV150" s="43">
        <f t="shared" si="381"/>
        <v>0</v>
      </c>
      <c r="CW150" s="43">
        <f t="shared" si="382"/>
        <v>0</v>
      </c>
      <c r="CX150" s="43">
        <f t="shared" si="382"/>
        <v>0</v>
      </c>
      <c r="CY150" s="43"/>
      <c r="CZ150" s="43"/>
      <c r="DA150" s="43">
        <f t="shared" si="383"/>
        <v>0</v>
      </c>
      <c r="DB150" s="43">
        <f t="shared" si="383"/>
        <v>0</v>
      </c>
      <c r="DC150" s="43">
        <v>0</v>
      </c>
      <c r="DD150" s="43">
        <v>0</v>
      </c>
      <c r="DE150" s="43">
        <f t="shared" si="384"/>
        <v>0</v>
      </c>
      <c r="DF150" s="43">
        <f t="shared" si="384"/>
        <v>0</v>
      </c>
      <c r="DG150" s="43">
        <f t="shared" si="419"/>
        <v>0</v>
      </c>
      <c r="DH150" s="43">
        <f t="shared" si="419"/>
        <v>0</v>
      </c>
      <c r="DI150" s="43">
        <f t="shared" si="420"/>
        <v>0</v>
      </c>
      <c r="DJ150" s="43">
        <f t="shared" si="420"/>
        <v>0</v>
      </c>
      <c r="DK150" s="43"/>
      <c r="DL150" s="43"/>
      <c r="DM150" s="43">
        <f t="shared" si="385"/>
        <v>0</v>
      </c>
      <c r="DN150" s="43">
        <f t="shared" si="385"/>
        <v>0</v>
      </c>
      <c r="DO150" s="94">
        <v>0</v>
      </c>
      <c r="DP150" s="94">
        <v>0</v>
      </c>
      <c r="DQ150" s="60">
        <f t="shared" si="386"/>
        <v>0</v>
      </c>
      <c r="DR150" s="60">
        <f t="shared" si="386"/>
        <v>0</v>
      </c>
      <c r="DS150" s="60">
        <f t="shared" si="387"/>
        <v>0</v>
      </c>
      <c r="DT150" s="60">
        <f t="shared" si="387"/>
        <v>0</v>
      </c>
      <c r="DU150" s="60">
        <f t="shared" si="388"/>
        <v>0</v>
      </c>
      <c r="DV150" s="60">
        <f t="shared" si="388"/>
        <v>0</v>
      </c>
      <c r="DW150" s="60"/>
      <c r="DX150" s="60"/>
      <c r="DY150" s="60">
        <f t="shared" si="389"/>
        <v>0</v>
      </c>
      <c r="DZ150" s="60">
        <f t="shared" si="389"/>
        <v>0</v>
      </c>
      <c r="EA150" s="60"/>
      <c r="EB150" s="60"/>
      <c r="EC150" s="43">
        <f t="shared" si="390"/>
        <v>0</v>
      </c>
      <c r="ED150" s="43">
        <f t="shared" si="390"/>
        <v>0</v>
      </c>
      <c r="EE150" s="43"/>
      <c r="EF150" s="43"/>
      <c r="EG150" s="43" t="e">
        <f t="shared" ref="EG150:EH212" si="423">ROUND(EE150/EC150*100,2)</f>
        <v>#DIV/0!</v>
      </c>
      <c r="EH150" s="43" t="e">
        <f t="shared" si="423"/>
        <v>#DIV/0!</v>
      </c>
      <c r="EI150" s="43">
        <f t="shared" si="391"/>
        <v>0</v>
      </c>
      <c r="EJ150" s="43">
        <f t="shared" si="391"/>
        <v>0</v>
      </c>
      <c r="EK150" s="43">
        <f t="shared" si="392"/>
        <v>0</v>
      </c>
      <c r="EL150" s="43">
        <f t="shared" si="392"/>
        <v>0</v>
      </c>
      <c r="EM150" s="43">
        <f t="shared" si="393"/>
        <v>0</v>
      </c>
      <c r="EN150" s="43">
        <f t="shared" si="393"/>
        <v>0</v>
      </c>
      <c r="EO150" s="43">
        <v>0</v>
      </c>
      <c r="EP150" s="43">
        <v>0</v>
      </c>
      <c r="EQ150" s="5"/>
      <c r="ER150" s="5"/>
      <c r="ES150" s="5"/>
      <c r="ET150" s="5"/>
      <c r="EU150" s="5">
        <f t="shared" si="270"/>
        <v>0</v>
      </c>
      <c r="EV150" s="5">
        <f t="shared" si="270"/>
        <v>0</v>
      </c>
      <c r="EW150" s="5">
        <v>0</v>
      </c>
      <c r="EX150" s="5">
        <v>0</v>
      </c>
      <c r="EY150" s="5">
        <v>0</v>
      </c>
      <c r="EZ150" s="5">
        <v>0</v>
      </c>
    </row>
    <row r="151" spans="1:159" ht="18.75" x14ac:dyDescent="0.25">
      <c r="A151" s="37">
        <v>13</v>
      </c>
      <c r="B151" s="37"/>
      <c r="C151" s="91" t="s">
        <v>136</v>
      </c>
      <c r="D151" s="38" t="s">
        <v>345</v>
      </c>
      <c r="E151" s="39"/>
      <c r="F151" s="40">
        <v>0</v>
      </c>
      <c r="G151" s="40">
        <v>0</v>
      </c>
      <c r="H151" s="40">
        <v>0</v>
      </c>
      <c r="I151" s="40">
        <v>0</v>
      </c>
      <c r="J151" s="41"/>
      <c r="K151" s="41"/>
      <c r="L151" s="41"/>
      <c r="M151" s="41">
        <f t="shared" si="367"/>
        <v>0</v>
      </c>
      <c r="N151" s="41"/>
      <c r="O151" s="41"/>
      <c r="P151" s="41"/>
      <c r="Q151" s="41">
        <f t="shared" si="415"/>
        <v>0</v>
      </c>
      <c r="R151" s="41">
        <f t="shared" si="369"/>
        <v>0</v>
      </c>
      <c r="S151" s="41"/>
      <c r="T151" s="92"/>
      <c r="U151" s="92"/>
      <c r="V151" s="40">
        <f t="shared" si="416"/>
        <v>0</v>
      </c>
      <c r="W151" s="40">
        <f t="shared" si="417"/>
        <v>0</v>
      </c>
      <c r="X151" s="43">
        <f t="shared" si="352"/>
        <v>0</v>
      </c>
      <c r="Y151" s="43">
        <f t="shared" si="352"/>
        <v>0</v>
      </c>
      <c r="Z151" s="43">
        <v>0</v>
      </c>
      <c r="AA151" s="43"/>
      <c r="AB151" s="43">
        <f t="shared" si="360"/>
        <v>0</v>
      </c>
      <c r="AC151" s="43">
        <f t="shared" si="361"/>
        <v>0</v>
      </c>
      <c r="AD151" s="43">
        <f t="shared" si="418"/>
        <v>0</v>
      </c>
      <c r="AE151" s="43">
        <f t="shared" si="418"/>
        <v>0</v>
      </c>
      <c r="AF151" s="43">
        <f t="shared" si="373"/>
        <v>0</v>
      </c>
      <c r="AG151" s="43">
        <f t="shared" si="353"/>
        <v>0</v>
      </c>
      <c r="AH151" s="43">
        <f t="shared" si="353"/>
        <v>0</v>
      </c>
      <c r="AI151" s="93">
        <f t="shared" si="354"/>
        <v>0</v>
      </c>
      <c r="AJ151" s="43">
        <f t="shared" si="354"/>
        <v>0</v>
      </c>
      <c r="AK151" s="43"/>
      <c r="AL151" s="43"/>
      <c r="AM151" s="43">
        <f t="shared" si="374"/>
        <v>0</v>
      </c>
      <c r="AN151" s="43">
        <f t="shared" si="375"/>
        <v>0</v>
      </c>
      <c r="AO151" s="43"/>
      <c r="AP151" s="43"/>
      <c r="AQ151" s="43">
        <f t="shared" si="355"/>
        <v>0</v>
      </c>
      <c r="AR151" s="43">
        <f t="shared" si="355"/>
        <v>0</v>
      </c>
      <c r="AS151" s="43"/>
      <c r="AT151" s="43"/>
      <c r="AU151" s="43">
        <f t="shared" si="260"/>
        <v>0</v>
      </c>
      <c r="AV151" s="43">
        <f t="shared" si="260"/>
        <v>0</v>
      </c>
      <c r="AW151" s="43"/>
      <c r="AX151" s="43"/>
      <c r="AY151" s="43">
        <f t="shared" si="349"/>
        <v>0</v>
      </c>
      <c r="AZ151" s="43">
        <f t="shared" si="349"/>
        <v>0</v>
      </c>
      <c r="BA151" s="43">
        <f t="shared" si="356"/>
        <v>0</v>
      </c>
      <c r="BB151" s="60">
        <v>0</v>
      </c>
      <c r="BC151" s="60"/>
      <c r="BD151" s="60">
        <f t="shared" si="350"/>
        <v>0</v>
      </c>
      <c r="BE151" s="60">
        <f t="shared" si="350"/>
        <v>0</v>
      </c>
      <c r="BF151" s="60">
        <f t="shared" si="351"/>
        <v>0</v>
      </c>
      <c r="BG151" s="60">
        <f t="shared" si="351"/>
        <v>0</v>
      </c>
      <c r="BH151" s="43">
        <v>0</v>
      </c>
      <c r="BI151" s="43">
        <v>0</v>
      </c>
      <c r="BJ151" s="43"/>
      <c r="BK151" s="43"/>
      <c r="BL151" s="43">
        <f t="shared" si="358"/>
        <v>0</v>
      </c>
      <c r="BM151" s="43">
        <f t="shared" si="358"/>
        <v>0</v>
      </c>
      <c r="BN151" s="43">
        <f t="shared" si="376"/>
        <v>0</v>
      </c>
      <c r="BO151" s="43">
        <v>0</v>
      </c>
      <c r="BP151" s="93"/>
      <c r="BQ151" s="43">
        <f t="shared" si="377"/>
        <v>0</v>
      </c>
      <c r="BR151" s="43">
        <f t="shared" si="377"/>
        <v>0</v>
      </c>
      <c r="BS151" s="43">
        <f t="shared" si="378"/>
        <v>0</v>
      </c>
      <c r="BT151" s="43">
        <f t="shared" si="378"/>
        <v>0</v>
      </c>
      <c r="BU151" s="43">
        <f t="shared" si="421"/>
        <v>0</v>
      </c>
      <c r="BV151" s="43">
        <f t="shared" si="422"/>
        <v>0</v>
      </c>
      <c r="BW151" s="43"/>
      <c r="BX151" s="43"/>
      <c r="BY151" s="43"/>
      <c r="BZ151" s="43"/>
      <c r="CA151" s="43">
        <v>0</v>
      </c>
      <c r="CB151" s="43">
        <v>0</v>
      </c>
      <c r="CC151" s="92">
        <v>0</v>
      </c>
      <c r="CD151" s="92">
        <v>0</v>
      </c>
      <c r="CE151" s="92">
        <v>0</v>
      </c>
      <c r="CF151" s="92">
        <v>0</v>
      </c>
      <c r="CG151" s="92">
        <f t="shared" si="379"/>
        <v>0</v>
      </c>
      <c r="CH151" s="92">
        <f t="shared" si="379"/>
        <v>0</v>
      </c>
      <c r="CI151" s="43"/>
      <c r="CJ151" s="43"/>
      <c r="CK151" s="43"/>
      <c r="CL151" s="43"/>
      <c r="CM151" s="43"/>
      <c r="CN151" s="43"/>
      <c r="CO151" s="43"/>
      <c r="CP151" s="43"/>
      <c r="CQ151" s="43">
        <f t="shared" si="380"/>
        <v>0</v>
      </c>
      <c r="CR151" s="43">
        <f t="shared" si="380"/>
        <v>0</v>
      </c>
      <c r="CS151" s="43">
        <f t="shared" si="381"/>
        <v>0</v>
      </c>
      <c r="CT151" s="43">
        <f t="shared" si="381"/>
        <v>0</v>
      </c>
      <c r="CU151" s="43">
        <f t="shared" si="381"/>
        <v>0</v>
      </c>
      <c r="CV151" s="43">
        <f t="shared" si="381"/>
        <v>0</v>
      </c>
      <c r="CW151" s="43">
        <f t="shared" si="382"/>
        <v>0</v>
      </c>
      <c r="CX151" s="43">
        <f t="shared" si="382"/>
        <v>0</v>
      </c>
      <c r="CY151" s="43"/>
      <c r="CZ151" s="43"/>
      <c r="DA151" s="43">
        <f t="shared" si="383"/>
        <v>0</v>
      </c>
      <c r="DB151" s="43">
        <f t="shared" si="383"/>
        <v>0</v>
      </c>
      <c r="DC151" s="43">
        <v>0</v>
      </c>
      <c r="DD151" s="43">
        <v>0</v>
      </c>
      <c r="DE151" s="43">
        <f t="shared" si="384"/>
        <v>0</v>
      </c>
      <c r="DF151" s="43">
        <f t="shared" si="384"/>
        <v>0</v>
      </c>
      <c r="DG151" s="43">
        <f t="shared" si="419"/>
        <v>0</v>
      </c>
      <c r="DH151" s="43">
        <f t="shared" si="419"/>
        <v>0</v>
      </c>
      <c r="DI151" s="43">
        <f t="shared" si="420"/>
        <v>0</v>
      </c>
      <c r="DJ151" s="43">
        <f t="shared" si="420"/>
        <v>0</v>
      </c>
      <c r="DK151" s="43"/>
      <c r="DL151" s="43"/>
      <c r="DM151" s="43">
        <f t="shared" si="385"/>
        <v>0</v>
      </c>
      <c r="DN151" s="43">
        <f t="shared" si="385"/>
        <v>0</v>
      </c>
      <c r="DO151" s="94">
        <v>0</v>
      </c>
      <c r="DP151" s="94">
        <v>0</v>
      </c>
      <c r="DQ151" s="60">
        <f t="shared" si="386"/>
        <v>0</v>
      </c>
      <c r="DR151" s="60">
        <f t="shared" si="386"/>
        <v>0</v>
      </c>
      <c r="DS151" s="60">
        <f t="shared" si="387"/>
        <v>0</v>
      </c>
      <c r="DT151" s="60">
        <f t="shared" si="387"/>
        <v>0</v>
      </c>
      <c r="DU151" s="60">
        <f t="shared" si="388"/>
        <v>0</v>
      </c>
      <c r="DV151" s="60">
        <f t="shared" si="388"/>
        <v>0</v>
      </c>
      <c r="DW151" s="60"/>
      <c r="DX151" s="60"/>
      <c r="DY151" s="60">
        <f t="shared" si="389"/>
        <v>0</v>
      </c>
      <c r="DZ151" s="60">
        <f t="shared" si="389"/>
        <v>0</v>
      </c>
      <c r="EA151" s="60"/>
      <c r="EB151" s="60"/>
      <c r="EC151" s="43">
        <f t="shared" si="390"/>
        <v>0</v>
      </c>
      <c r="ED151" s="43">
        <f t="shared" si="390"/>
        <v>0</v>
      </c>
      <c r="EE151" s="43"/>
      <c r="EF151" s="43"/>
      <c r="EG151" s="43" t="e">
        <f t="shared" si="423"/>
        <v>#DIV/0!</v>
      </c>
      <c r="EH151" s="43" t="e">
        <f t="shared" si="423"/>
        <v>#DIV/0!</v>
      </c>
      <c r="EI151" s="43">
        <f t="shared" si="391"/>
        <v>0</v>
      </c>
      <c r="EJ151" s="43">
        <f t="shared" si="391"/>
        <v>0</v>
      </c>
      <c r="EK151" s="43">
        <f t="shared" si="392"/>
        <v>0</v>
      </c>
      <c r="EL151" s="43">
        <f t="shared" si="392"/>
        <v>0</v>
      </c>
      <c r="EM151" s="43">
        <f t="shared" si="393"/>
        <v>0</v>
      </c>
      <c r="EN151" s="43">
        <f t="shared" si="393"/>
        <v>0</v>
      </c>
      <c r="EO151" s="43">
        <v>0</v>
      </c>
      <c r="EP151" s="43">
        <v>0</v>
      </c>
      <c r="EQ151" s="5"/>
      <c r="ER151" s="5"/>
      <c r="ES151" s="5"/>
      <c r="ET151" s="5"/>
      <c r="EU151" s="5">
        <f t="shared" si="270"/>
        <v>0</v>
      </c>
      <c r="EV151" s="5">
        <f t="shared" si="270"/>
        <v>0</v>
      </c>
      <c r="EW151" s="5">
        <v>0</v>
      </c>
      <c r="EX151" s="5">
        <v>0</v>
      </c>
      <c r="EY151" s="5">
        <v>0</v>
      </c>
      <c r="EZ151" s="5">
        <v>0</v>
      </c>
    </row>
    <row r="152" spans="1:159" ht="18.75" x14ac:dyDescent="0.25">
      <c r="A152" s="37">
        <v>14</v>
      </c>
      <c r="B152" s="37"/>
      <c r="C152" s="91" t="s">
        <v>136</v>
      </c>
      <c r="D152" s="38" t="s">
        <v>346</v>
      </c>
      <c r="E152" s="39"/>
      <c r="F152" s="40">
        <v>0</v>
      </c>
      <c r="G152" s="40">
        <v>0</v>
      </c>
      <c r="H152" s="40">
        <v>0</v>
      </c>
      <c r="I152" s="40">
        <v>0</v>
      </c>
      <c r="J152" s="41"/>
      <c r="K152" s="41"/>
      <c r="L152" s="41"/>
      <c r="M152" s="41">
        <f t="shared" si="367"/>
        <v>0</v>
      </c>
      <c r="N152" s="41"/>
      <c r="O152" s="41"/>
      <c r="P152" s="41"/>
      <c r="Q152" s="41">
        <f t="shared" si="415"/>
        <v>0</v>
      </c>
      <c r="R152" s="41">
        <f t="shared" si="369"/>
        <v>0</v>
      </c>
      <c r="S152" s="41"/>
      <c r="T152" s="92"/>
      <c r="U152" s="92"/>
      <c r="V152" s="40">
        <f t="shared" si="416"/>
        <v>0</v>
      </c>
      <c r="W152" s="40">
        <f t="shared" si="417"/>
        <v>0</v>
      </c>
      <c r="X152" s="43">
        <f t="shared" si="352"/>
        <v>0</v>
      </c>
      <c r="Y152" s="43">
        <f t="shared" si="352"/>
        <v>0</v>
      </c>
      <c r="Z152" s="43">
        <v>0</v>
      </c>
      <c r="AA152" s="43"/>
      <c r="AB152" s="43">
        <f t="shared" si="360"/>
        <v>0</v>
      </c>
      <c r="AC152" s="43">
        <f t="shared" si="361"/>
        <v>0</v>
      </c>
      <c r="AD152" s="43">
        <f t="shared" si="418"/>
        <v>0</v>
      </c>
      <c r="AE152" s="43">
        <f t="shared" si="418"/>
        <v>0</v>
      </c>
      <c r="AF152" s="43">
        <f t="shared" si="373"/>
        <v>0</v>
      </c>
      <c r="AG152" s="43">
        <f t="shared" si="353"/>
        <v>0</v>
      </c>
      <c r="AH152" s="43">
        <f t="shared" si="353"/>
        <v>0</v>
      </c>
      <c r="AI152" s="93">
        <f t="shared" si="354"/>
        <v>0</v>
      </c>
      <c r="AJ152" s="43">
        <f t="shared" si="354"/>
        <v>0</v>
      </c>
      <c r="AK152" s="43"/>
      <c r="AL152" s="43"/>
      <c r="AM152" s="43">
        <f t="shared" si="374"/>
        <v>0</v>
      </c>
      <c r="AN152" s="43">
        <f t="shared" si="375"/>
        <v>0</v>
      </c>
      <c r="AO152" s="43"/>
      <c r="AP152" s="43"/>
      <c r="AQ152" s="43">
        <f t="shared" si="355"/>
        <v>0</v>
      </c>
      <c r="AR152" s="43">
        <f t="shared" si="355"/>
        <v>0</v>
      </c>
      <c r="AS152" s="43"/>
      <c r="AT152" s="43"/>
      <c r="AU152" s="43">
        <f t="shared" si="260"/>
        <v>0</v>
      </c>
      <c r="AV152" s="43">
        <f t="shared" si="260"/>
        <v>0</v>
      </c>
      <c r="AW152" s="43"/>
      <c r="AX152" s="43"/>
      <c r="AY152" s="43">
        <f t="shared" si="349"/>
        <v>0</v>
      </c>
      <c r="AZ152" s="43">
        <f t="shared" si="349"/>
        <v>0</v>
      </c>
      <c r="BA152" s="43">
        <f t="shared" si="356"/>
        <v>0</v>
      </c>
      <c r="BB152" s="60">
        <v>0</v>
      </c>
      <c r="BC152" s="60"/>
      <c r="BD152" s="60">
        <f t="shared" si="350"/>
        <v>0</v>
      </c>
      <c r="BE152" s="60">
        <f t="shared" si="350"/>
        <v>0</v>
      </c>
      <c r="BF152" s="60">
        <f t="shared" si="351"/>
        <v>0</v>
      </c>
      <c r="BG152" s="60">
        <f t="shared" si="351"/>
        <v>0</v>
      </c>
      <c r="BH152" s="43">
        <v>0</v>
      </c>
      <c r="BI152" s="43">
        <v>0</v>
      </c>
      <c r="BJ152" s="43"/>
      <c r="BK152" s="43"/>
      <c r="BL152" s="43">
        <f t="shared" si="358"/>
        <v>0</v>
      </c>
      <c r="BM152" s="43">
        <f t="shared" si="358"/>
        <v>0</v>
      </c>
      <c r="BN152" s="43">
        <f t="shared" si="376"/>
        <v>0</v>
      </c>
      <c r="BO152" s="43">
        <v>0</v>
      </c>
      <c r="BP152" s="93"/>
      <c r="BQ152" s="43">
        <f t="shared" si="377"/>
        <v>0</v>
      </c>
      <c r="BR152" s="43">
        <f t="shared" si="377"/>
        <v>0</v>
      </c>
      <c r="BS152" s="43">
        <f t="shared" si="378"/>
        <v>0</v>
      </c>
      <c r="BT152" s="43">
        <f t="shared" si="378"/>
        <v>0</v>
      </c>
      <c r="BU152" s="43">
        <f t="shared" si="421"/>
        <v>0</v>
      </c>
      <c r="BV152" s="43">
        <f t="shared" si="422"/>
        <v>0</v>
      </c>
      <c r="BW152" s="43"/>
      <c r="BX152" s="43"/>
      <c r="BY152" s="43"/>
      <c r="BZ152" s="43"/>
      <c r="CA152" s="43">
        <v>0</v>
      </c>
      <c r="CB152" s="43">
        <v>0</v>
      </c>
      <c r="CC152" s="92">
        <v>0</v>
      </c>
      <c r="CD152" s="92">
        <v>0</v>
      </c>
      <c r="CE152" s="92">
        <v>0</v>
      </c>
      <c r="CF152" s="92">
        <v>0</v>
      </c>
      <c r="CG152" s="92">
        <f t="shared" si="379"/>
        <v>0</v>
      </c>
      <c r="CH152" s="92">
        <f t="shared" si="379"/>
        <v>0</v>
      </c>
      <c r="CI152" s="43"/>
      <c r="CJ152" s="43"/>
      <c r="CK152" s="43"/>
      <c r="CL152" s="43"/>
      <c r="CM152" s="43"/>
      <c r="CN152" s="43"/>
      <c r="CO152" s="43"/>
      <c r="CP152" s="43"/>
      <c r="CQ152" s="43">
        <f t="shared" si="380"/>
        <v>0</v>
      </c>
      <c r="CR152" s="43">
        <f t="shared" si="380"/>
        <v>0</v>
      </c>
      <c r="CS152" s="43">
        <f t="shared" si="381"/>
        <v>0</v>
      </c>
      <c r="CT152" s="43">
        <f t="shared" si="381"/>
        <v>0</v>
      </c>
      <c r="CU152" s="43">
        <f t="shared" si="381"/>
        <v>0</v>
      </c>
      <c r="CV152" s="43">
        <f t="shared" si="381"/>
        <v>0</v>
      </c>
      <c r="CW152" s="43">
        <f t="shared" si="382"/>
        <v>0</v>
      </c>
      <c r="CX152" s="43">
        <f t="shared" si="382"/>
        <v>0</v>
      </c>
      <c r="CY152" s="43"/>
      <c r="CZ152" s="43"/>
      <c r="DA152" s="43">
        <f t="shared" si="383"/>
        <v>0</v>
      </c>
      <c r="DB152" s="43">
        <f t="shared" si="383"/>
        <v>0</v>
      </c>
      <c r="DC152" s="43">
        <v>0</v>
      </c>
      <c r="DD152" s="43">
        <v>0</v>
      </c>
      <c r="DE152" s="43">
        <f t="shared" si="384"/>
        <v>0</v>
      </c>
      <c r="DF152" s="43">
        <f t="shared" si="384"/>
        <v>0</v>
      </c>
      <c r="DG152" s="43">
        <f t="shared" si="419"/>
        <v>0</v>
      </c>
      <c r="DH152" s="43">
        <f t="shared" si="419"/>
        <v>0</v>
      </c>
      <c r="DI152" s="43">
        <f t="shared" si="420"/>
        <v>0</v>
      </c>
      <c r="DJ152" s="43">
        <f t="shared" si="420"/>
        <v>0</v>
      </c>
      <c r="DK152" s="43"/>
      <c r="DL152" s="43"/>
      <c r="DM152" s="43">
        <f t="shared" si="385"/>
        <v>0</v>
      </c>
      <c r="DN152" s="43">
        <f t="shared" si="385"/>
        <v>0</v>
      </c>
      <c r="DO152" s="94">
        <v>0</v>
      </c>
      <c r="DP152" s="94">
        <v>0</v>
      </c>
      <c r="DQ152" s="60">
        <f t="shared" si="386"/>
        <v>0</v>
      </c>
      <c r="DR152" s="60">
        <f t="shared" si="386"/>
        <v>0</v>
      </c>
      <c r="DS152" s="60">
        <f t="shared" si="387"/>
        <v>0</v>
      </c>
      <c r="DT152" s="60">
        <f t="shared" si="387"/>
        <v>0</v>
      </c>
      <c r="DU152" s="60">
        <f t="shared" si="388"/>
        <v>0</v>
      </c>
      <c r="DV152" s="60">
        <f t="shared" si="388"/>
        <v>0</v>
      </c>
      <c r="DW152" s="60"/>
      <c r="DX152" s="60"/>
      <c r="DY152" s="60">
        <f t="shared" si="389"/>
        <v>0</v>
      </c>
      <c r="DZ152" s="60">
        <f t="shared" si="389"/>
        <v>0</v>
      </c>
      <c r="EA152" s="60"/>
      <c r="EB152" s="60"/>
      <c r="EC152" s="43">
        <f t="shared" si="390"/>
        <v>0</v>
      </c>
      <c r="ED152" s="43">
        <f t="shared" si="390"/>
        <v>0</v>
      </c>
      <c r="EE152" s="43"/>
      <c r="EF152" s="43"/>
      <c r="EG152" s="43" t="e">
        <f t="shared" si="423"/>
        <v>#DIV/0!</v>
      </c>
      <c r="EH152" s="43" t="e">
        <f t="shared" si="423"/>
        <v>#DIV/0!</v>
      </c>
      <c r="EI152" s="43">
        <f t="shared" si="391"/>
        <v>0</v>
      </c>
      <c r="EJ152" s="43">
        <f t="shared" si="391"/>
        <v>0</v>
      </c>
      <c r="EK152" s="43">
        <f t="shared" si="392"/>
        <v>0</v>
      </c>
      <c r="EL152" s="43">
        <f t="shared" si="392"/>
        <v>0</v>
      </c>
      <c r="EM152" s="43">
        <f t="shared" si="393"/>
        <v>0</v>
      </c>
      <c r="EN152" s="43">
        <f t="shared" si="393"/>
        <v>0</v>
      </c>
      <c r="EO152" s="43">
        <v>0</v>
      </c>
      <c r="EP152" s="43">
        <v>0</v>
      </c>
      <c r="EQ152" s="5"/>
      <c r="ER152" s="5"/>
      <c r="ES152" s="5"/>
      <c r="ET152" s="5"/>
      <c r="EU152" s="5">
        <f t="shared" si="270"/>
        <v>0</v>
      </c>
      <c r="EV152" s="5">
        <f t="shared" si="270"/>
        <v>0</v>
      </c>
      <c r="EW152" s="5">
        <v>0</v>
      </c>
      <c r="EX152" s="5">
        <v>0</v>
      </c>
      <c r="EY152" s="5">
        <v>0</v>
      </c>
      <c r="EZ152" s="5">
        <v>0</v>
      </c>
    </row>
    <row r="153" spans="1:159" ht="37.5" x14ac:dyDescent="0.25">
      <c r="A153" s="37">
        <v>15</v>
      </c>
      <c r="B153" s="37"/>
      <c r="C153" s="91" t="s">
        <v>136</v>
      </c>
      <c r="D153" s="38" t="s">
        <v>347</v>
      </c>
      <c r="E153" s="39"/>
      <c r="F153" s="40">
        <v>0</v>
      </c>
      <c r="G153" s="40">
        <v>0</v>
      </c>
      <c r="H153" s="40">
        <v>0</v>
      </c>
      <c r="I153" s="40">
        <v>0</v>
      </c>
      <c r="J153" s="41"/>
      <c r="K153" s="41"/>
      <c r="L153" s="41"/>
      <c r="M153" s="41">
        <f t="shared" si="367"/>
        <v>0</v>
      </c>
      <c r="N153" s="41"/>
      <c r="O153" s="41"/>
      <c r="P153" s="41"/>
      <c r="Q153" s="41">
        <f t="shared" si="415"/>
        <v>0</v>
      </c>
      <c r="R153" s="41">
        <f t="shared" si="369"/>
        <v>0</v>
      </c>
      <c r="S153" s="41"/>
      <c r="T153" s="92"/>
      <c r="U153" s="92"/>
      <c r="V153" s="40">
        <f t="shared" si="416"/>
        <v>0</v>
      </c>
      <c r="W153" s="40">
        <f t="shared" si="417"/>
        <v>0</v>
      </c>
      <c r="X153" s="43">
        <f t="shared" si="352"/>
        <v>0</v>
      </c>
      <c r="Y153" s="43">
        <f t="shared" si="352"/>
        <v>0</v>
      </c>
      <c r="Z153" s="43">
        <v>0</v>
      </c>
      <c r="AA153" s="43"/>
      <c r="AB153" s="43">
        <f t="shared" si="360"/>
        <v>0</v>
      </c>
      <c r="AC153" s="43">
        <f t="shared" si="361"/>
        <v>0</v>
      </c>
      <c r="AD153" s="43">
        <f t="shared" si="418"/>
        <v>0</v>
      </c>
      <c r="AE153" s="43">
        <f t="shared" si="418"/>
        <v>0</v>
      </c>
      <c r="AF153" s="43">
        <f t="shared" si="373"/>
        <v>0</v>
      </c>
      <c r="AG153" s="43">
        <f t="shared" si="353"/>
        <v>0</v>
      </c>
      <c r="AH153" s="43">
        <f t="shared" si="353"/>
        <v>0</v>
      </c>
      <c r="AI153" s="93">
        <f t="shared" si="354"/>
        <v>0</v>
      </c>
      <c r="AJ153" s="43">
        <f t="shared" si="354"/>
        <v>0</v>
      </c>
      <c r="AK153" s="43"/>
      <c r="AL153" s="43"/>
      <c r="AM153" s="43">
        <f t="shared" si="374"/>
        <v>0</v>
      </c>
      <c r="AN153" s="43">
        <f t="shared" si="375"/>
        <v>0</v>
      </c>
      <c r="AO153" s="43"/>
      <c r="AP153" s="43"/>
      <c r="AQ153" s="43">
        <f t="shared" si="355"/>
        <v>0</v>
      </c>
      <c r="AR153" s="43">
        <f t="shared" si="355"/>
        <v>0</v>
      </c>
      <c r="AS153" s="43"/>
      <c r="AT153" s="43"/>
      <c r="AU153" s="43">
        <f t="shared" si="260"/>
        <v>0</v>
      </c>
      <c r="AV153" s="43">
        <f t="shared" si="260"/>
        <v>0</v>
      </c>
      <c r="AW153" s="43"/>
      <c r="AX153" s="43"/>
      <c r="AY153" s="43">
        <f t="shared" si="349"/>
        <v>0</v>
      </c>
      <c r="AZ153" s="43">
        <f t="shared" si="349"/>
        <v>0</v>
      </c>
      <c r="BA153" s="43">
        <f t="shared" si="356"/>
        <v>0</v>
      </c>
      <c r="BB153" s="60">
        <v>0</v>
      </c>
      <c r="BC153" s="60"/>
      <c r="BD153" s="60">
        <f t="shared" si="350"/>
        <v>0</v>
      </c>
      <c r="BE153" s="60">
        <f t="shared" si="350"/>
        <v>0</v>
      </c>
      <c r="BF153" s="60">
        <f t="shared" si="351"/>
        <v>0</v>
      </c>
      <c r="BG153" s="60">
        <f t="shared" si="351"/>
        <v>0</v>
      </c>
      <c r="BH153" s="43">
        <v>0</v>
      </c>
      <c r="BI153" s="43">
        <v>0</v>
      </c>
      <c r="BJ153" s="43"/>
      <c r="BK153" s="43"/>
      <c r="BL153" s="43">
        <f t="shared" si="358"/>
        <v>0</v>
      </c>
      <c r="BM153" s="43">
        <f t="shared" si="358"/>
        <v>0</v>
      </c>
      <c r="BN153" s="43">
        <f t="shared" si="376"/>
        <v>0</v>
      </c>
      <c r="BO153" s="43">
        <v>0</v>
      </c>
      <c r="BP153" s="93"/>
      <c r="BQ153" s="43">
        <f t="shared" si="377"/>
        <v>0</v>
      </c>
      <c r="BR153" s="43">
        <f t="shared" si="377"/>
        <v>0</v>
      </c>
      <c r="BS153" s="43">
        <f t="shared" si="378"/>
        <v>0</v>
      </c>
      <c r="BT153" s="43">
        <f t="shared" si="378"/>
        <v>0</v>
      </c>
      <c r="BU153" s="43">
        <f t="shared" si="421"/>
        <v>0</v>
      </c>
      <c r="BV153" s="43">
        <f t="shared" si="422"/>
        <v>0</v>
      </c>
      <c r="BW153" s="43"/>
      <c r="BX153" s="43"/>
      <c r="BY153" s="43"/>
      <c r="BZ153" s="43"/>
      <c r="CA153" s="43">
        <v>0</v>
      </c>
      <c r="CB153" s="43">
        <v>0</v>
      </c>
      <c r="CC153" s="92">
        <v>0</v>
      </c>
      <c r="CD153" s="92">
        <v>0</v>
      </c>
      <c r="CE153" s="92">
        <v>0</v>
      </c>
      <c r="CF153" s="92">
        <v>0</v>
      </c>
      <c r="CG153" s="92">
        <f t="shared" si="379"/>
        <v>0</v>
      </c>
      <c r="CH153" s="92">
        <f t="shared" si="379"/>
        <v>0</v>
      </c>
      <c r="CI153" s="43"/>
      <c r="CJ153" s="43"/>
      <c r="CK153" s="43"/>
      <c r="CL153" s="43"/>
      <c r="CM153" s="43"/>
      <c r="CN153" s="43"/>
      <c r="CO153" s="43"/>
      <c r="CP153" s="43"/>
      <c r="CQ153" s="43">
        <f t="shared" si="380"/>
        <v>0</v>
      </c>
      <c r="CR153" s="43">
        <f t="shared" si="380"/>
        <v>0</v>
      </c>
      <c r="CS153" s="43">
        <f t="shared" si="381"/>
        <v>0</v>
      </c>
      <c r="CT153" s="43">
        <f t="shared" si="381"/>
        <v>0</v>
      </c>
      <c r="CU153" s="43">
        <f t="shared" si="381"/>
        <v>0</v>
      </c>
      <c r="CV153" s="43">
        <f t="shared" si="381"/>
        <v>0</v>
      </c>
      <c r="CW153" s="43">
        <f t="shared" si="382"/>
        <v>0</v>
      </c>
      <c r="CX153" s="43">
        <f t="shared" si="382"/>
        <v>0</v>
      </c>
      <c r="CY153" s="43"/>
      <c r="CZ153" s="43"/>
      <c r="DA153" s="43">
        <f t="shared" si="383"/>
        <v>0</v>
      </c>
      <c r="DB153" s="43">
        <f t="shared" si="383"/>
        <v>0</v>
      </c>
      <c r="DC153" s="43">
        <v>0</v>
      </c>
      <c r="DD153" s="43">
        <v>0</v>
      </c>
      <c r="DE153" s="43">
        <f t="shared" si="384"/>
        <v>0</v>
      </c>
      <c r="DF153" s="43">
        <f t="shared" si="384"/>
        <v>0</v>
      </c>
      <c r="DG153" s="43">
        <f t="shared" si="419"/>
        <v>0</v>
      </c>
      <c r="DH153" s="43">
        <f t="shared" si="419"/>
        <v>0</v>
      </c>
      <c r="DI153" s="43">
        <f t="shared" si="420"/>
        <v>0</v>
      </c>
      <c r="DJ153" s="43">
        <f t="shared" si="420"/>
        <v>0</v>
      </c>
      <c r="DK153" s="43"/>
      <c r="DL153" s="43"/>
      <c r="DM153" s="43">
        <f t="shared" si="385"/>
        <v>0</v>
      </c>
      <c r="DN153" s="43">
        <f t="shared" si="385"/>
        <v>0</v>
      </c>
      <c r="DO153" s="94">
        <v>0</v>
      </c>
      <c r="DP153" s="94">
        <v>0</v>
      </c>
      <c r="DQ153" s="60">
        <f t="shared" si="386"/>
        <v>0</v>
      </c>
      <c r="DR153" s="60">
        <f t="shared" si="386"/>
        <v>0</v>
      </c>
      <c r="DS153" s="60">
        <f t="shared" si="387"/>
        <v>0</v>
      </c>
      <c r="DT153" s="60">
        <f t="shared" si="387"/>
        <v>0</v>
      </c>
      <c r="DU153" s="60">
        <f t="shared" si="388"/>
        <v>0</v>
      </c>
      <c r="DV153" s="60">
        <f t="shared" si="388"/>
        <v>0</v>
      </c>
      <c r="DW153" s="60"/>
      <c r="DX153" s="60"/>
      <c r="DY153" s="60">
        <f t="shared" si="389"/>
        <v>0</v>
      </c>
      <c r="DZ153" s="60">
        <f t="shared" si="389"/>
        <v>0</v>
      </c>
      <c r="EA153" s="60"/>
      <c r="EB153" s="60"/>
      <c r="EC153" s="43">
        <f t="shared" si="390"/>
        <v>0</v>
      </c>
      <c r="ED153" s="43">
        <f t="shared" si="390"/>
        <v>0</v>
      </c>
      <c r="EE153" s="43"/>
      <c r="EF153" s="43"/>
      <c r="EG153" s="43" t="e">
        <f t="shared" si="423"/>
        <v>#DIV/0!</v>
      </c>
      <c r="EH153" s="43" t="e">
        <f t="shared" si="423"/>
        <v>#DIV/0!</v>
      </c>
      <c r="EI153" s="43">
        <f t="shared" si="391"/>
        <v>0</v>
      </c>
      <c r="EJ153" s="43">
        <f t="shared" si="391"/>
        <v>0</v>
      </c>
      <c r="EK153" s="43">
        <f t="shared" si="392"/>
        <v>0</v>
      </c>
      <c r="EL153" s="43">
        <f t="shared" si="392"/>
        <v>0</v>
      </c>
      <c r="EM153" s="43">
        <f t="shared" si="393"/>
        <v>0</v>
      </c>
      <c r="EN153" s="43">
        <f t="shared" si="393"/>
        <v>0</v>
      </c>
      <c r="EO153" s="43">
        <v>0</v>
      </c>
      <c r="EP153" s="43">
        <v>0</v>
      </c>
      <c r="EQ153" s="5"/>
      <c r="ER153" s="5"/>
      <c r="ES153" s="5"/>
      <c r="ET153" s="5"/>
      <c r="EU153" s="5">
        <f t="shared" si="270"/>
        <v>0</v>
      </c>
      <c r="EV153" s="5">
        <f t="shared" si="270"/>
        <v>0</v>
      </c>
      <c r="EW153" s="5">
        <v>0</v>
      </c>
      <c r="EX153" s="5">
        <v>0</v>
      </c>
      <c r="EY153" s="5">
        <v>0</v>
      </c>
      <c r="EZ153" s="5">
        <v>0</v>
      </c>
    </row>
    <row r="154" spans="1:159" ht="37.5" x14ac:dyDescent="0.25">
      <c r="A154" s="37">
        <v>16</v>
      </c>
      <c r="B154" s="37"/>
      <c r="C154" s="91" t="s">
        <v>136</v>
      </c>
      <c r="D154" s="38" t="s">
        <v>348</v>
      </c>
      <c r="E154" s="39"/>
      <c r="F154" s="40">
        <v>0</v>
      </c>
      <c r="G154" s="40">
        <v>0</v>
      </c>
      <c r="H154" s="40">
        <v>0</v>
      </c>
      <c r="I154" s="40">
        <v>0</v>
      </c>
      <c r="J154" s="41"/>
      <c r="K154" s="41"/>
      <c r="L154" s="41"/>
      <c r="M154" s="41">
        <f t="shared" si="367"/>
        <v>0</v>
      </c>
      <c r="N154" s="41"/>
      <c r="O154" s="41"/>
      <c r="P154" s="41"/>
      <c r="Q154" s="41">
        <f t="shared" si="415"/>
        <v>0</v>
      </c>
      <c r="R154" s="41">
        <f t="shared" si="369"/>
        <v>0</v>
      </c>
      <c r="S154" s="41"/>
      <c r="T154" s="92"/>
      <c r="U154" s="92"/>
      <c r="V154" s="40">
        <f t="shared" si="416"/>
        <v>0</v>
      </c>
      <c r="W154" s="40">
        <f t="shared" si="417"/>
        <v>0</v>
      </c>
      <c r="X154" s="43">
        <f t="shared" si="352"/>
        <v>0</v>
      </c>
      <c r="Y154" s="43">
        <f t="shared" si="352"/>
        <v>0</v>
      </c>
      <c r="Z154" s="43">
        <v>0</v>
      </c>
      <c r="AA154" s="43"/>
      <c r="AB154" s="43">
        <f t="shared" si="360"/>
        <v>0</v>
      </c>
      <c r="AC154" s="43">
        <f t="shared" si="361"/>
        <v>0</v>
      </c>
      <c r="AD154" s="43">
        <f t="shared" si="418"/>
        <v>0</v>
      </c>
      <c r="AE154" s="43">
        <f t="shared" si="418"/>
        <v>0</v>
      </c>
      <c r="AF154" s="43">
        <f t="shared" si="373"/>
        <v>0</v>
      </c>
      <c r="AG154" s="43">
        <f t="shared" si="353"/>
        <v>0</v>
      </c>
      <c r="AH154" s="43">
        <f t="shared" si="353"/>
        <v>0</v>
      </c>
      <c r="AI154" s="93">
        <f t="shared" si="354"/>
        <v>0</v>
      </c>
      <c r="AJ154" s="43">
        <f t="shared" si="354"/>
        <v>0</v>
      </c>
      <c r="AK154" s="43"/>
      <c r="AL154" s="43"/>
      <c r="AM154" s="43">
        <f t="shared" si="374"/>
        <v>0</v>
      </c>
      <c r="AN154" s="43">
        <f t="shared" si="375"/>
        <v>0</v>
      </c>
      <c r="AO154" s="43"/>
      <c r="AP154" s="43"/>
      <c r="AQ154" s="43">
        <f t="shared" si="355"/>
        <v>0</v>
      </c>
      <c r="AR154" s="43">
        <f t="shared" si="355"/>
        <v>0</v>
      </c>
      <c r="AS154" s="43"/>
      <c r="AT154" s="43"/>
      <c r="AU154" s="43">
        <f t="shared" si="260"/>
        <v>0</v>
      </c>
      <c r="AV154" s="43">
        <f t="shared" si="260"/>
        <v>0</v>
      </c>
      <c r="AW154" s="43"/>
      <c r="AX154" s="43"/>
      <c r="AY154" s="43">
        <f t="shared" si="349"/>
        <v>0</v>
      </c>
      <c r="AZ154" s="43">
        <f t="shared" si="349"/>
        <v>0</v>
      </c>
      <c r="BA154" s="43">
        <f t="shared" si="356"/>
        <v>0</v>
      </c>
      <c r="BB154" s="60">
        <v>0</v>
      </c>
      <c r="BC154" s="60"/>
      <c r="BD154" s="60">
        <f t="shared" si="350"/>
        <v>0</v>
      </c>
      <c r="BE154" s="60">
        <f t="shared" si="350"/>
        <v>0</v>
      </c>
      <c r="BF154" s="60">
        <f t="shared" si="351"/>
        <v>0</v>
      </c>
      <c r="BG154" s="60">
        <f t="shared" si="351"/>
        <v>0</v>
      </c>
      <c r="BH154" s="43">
        <v>0</v>
      </c>
      <c r="BI154" s="43">
        <v>0</v>
      </c>
      <c r="BJ154" s="43"/>
      <c r="BK154" s="43"/>
      <c r="BL154" s="43">
        <f t="shared" si="358"/>
        <v>0</v>
      </c>
      <c r="BM154" s="43">
        <f t="shared" si="358"/>
        <v>0</v>
      </c>
      <c r="BN154" s="43">
        <f t="shared" si="376"/>
        <v>0</v>
      </c>
      <c r="BO154" s="43">
        <v>0</v>
      </c>
      <c r="BP154" s="93"/>
      <c r="BQ154" s="43">
        <f t="shared" si="377"/>
        <v>0</v>
      </c>
      <c r="BR154" s="43">
        <f t="shared" si="377"/>
        <v>0</v>
      </c>
      <c r="BS154" s="43">
        <f t="shared" si="378"/>
        <v>0</v>
      </c>
      <c r="BT154" s="43">
        <f t="shared" si="378"/>
        <v>0</v>
      </c>
      <c r="BU154" s="43">
        <f t="shared" si="421"/>
        <v>0</v>
      </c>
      <c r="BV154" s="43">
        <f t="shared" si="422"/>
        <v>0</v>
      </c>
      <c r="BW154" s="43"/>
      <c r="BX154" s="43"/>
      <c r="BY154" s="43"/>
      <c r="BZ154" s="43"/>
      <c r="CA154" s="43">
        <v>0</v>
      </c>
      <c r="CB154" s="43">
        <v>0</v>
      </c>
      <c r="CC154" s="92">
        <v>0</v>
      </c>
      <c r="CD154" s="92">
        <v>0</v>
      </c>
      <c r="CE154" s="92">
        <v>0</v>
      </c>
      <c r="CF154" s="92">
        <v>0</v>
      </c>
      <c r="CG154" s="92">
        <f t="shared" si="379"/>
        <v>0</v>
      </c>
      <c r="CH154" s="92">
        <f t="shared" si="379"/>
        <v>0</v>
      </c>
      <c r="CI154" s="43"/>
      <c r="CJ154" s="43"/>
      <c r="CK154" s="43"/>
      <c r="CL154" s="43"/>
      <c r="CM154" s="43"/>
      <c r="CN154" s="43"/>
      <c r="CO154" s="43"/>
      <c r="CP154" s="43"/>
      <c r="CQ154" s="43">
        <f t="shared" si="380"/>
        <v>0</v>
      </c>
      <c r="CR154" s="43">
        <f t="shared" si="380"/>
        <v>0</v>
      </c>
      <c r="CS154" s="43">
        <f t="shared" si="381"/>
        <v>0</v>
      </c>
      <c r="CT154" s="43">
        <f t="shared" si="381"/>
        <v>0</v>
      </c>
      <c r="CU154" s="43">
        <f t="shared" si="381"/>
        <v>0</v>
      </c>
      <c r="CV154" s="43">
        <f t="shared" si="381"/>
        <v>0</v>
      </c>
      <c r="CW154" s="43">
        <f t="shared" si="382"/>
        <v>0</v>
      </c>
      <c r="CX154" s="43">
        <f t="shared" si="382"/>
        <v>0</v>
      </c>
      <c r="CY154" s="43"/>
      <c r="CZ154" s="43"/>
      <c r="DA154" s="43">
        <f t="shared" si="383"/>
        <v>0</v>
      </c>
      <c r="DB154" s="43">
        <f t="shared" si="383"/>
        <v>0</v>
      </c>
      <c r="DC154" s="43">
        <v>0</v>
      </c>
      <c r="DD154" s="43">
        <v>0</v>
      </c>
      <c r="DE154" s="43">
        <f t="shared" si="384"/>
        <v>0</v>
      </c>
      <c r="DF154" s="43">
        <f t="shared" si="384"/>
        <v>0</v>
      </c>
      <c r="DG154" s="43">
        <f t="shared" si="419"/>
        <v>0</v>
      </c>
      <c r="DH154" s="43">
        <f t="shared" si="419"/>
        <v>0</v>
      </c>
      <c r="DI154" s="43">
        <f t="shared" si="420"/>
        <v>0</v>
      </c>
      <c r="DJ154" s="43">
        <f t="shared" si="420"/>
        <v>0</v>
      </c>
      <c r="DK154" s="43"/>
      <c r="DL154" s="43"/>
      <c r="DM154" s="43">
        <f t="shared" si="385"/>
        <v>0</v>
      </c>
      <c r="DN154" s="43">
        <f t="shared" si="385"/>
        <v>0</v>
      </c>
      <c r="DO154" s="94">
        <v>0</v>
      </c>
      <c r="DP154" s="94">
        <v>0</v>
      </c>
      <c r="DQ154" s="60">
        <f t="shared" si="386"/>
        <v>0</v>
      </c>
      <c r="DR154" s="60">
        <f t="shared" si="386"/>
        <v>0</v>
      </c>
      <c r="DS154" s="60">
        <f t="shared" si="387"/>
        <v>0</v>
      </c>
      <c r="DT154" s="60">
        <f t="shared" si="387"/>
        <v>0</v>
      </c>
      <c r="DU154" s="60">
        <f t="shared" si="388"/>
        <v>0</v>
      </c>
      <c r="DV154" s="60">
        <f t="shared" si="388"/>
        <v>0</v>
      </c>
      <c r="DW154" s="60"/>
      <c r="DX154" s="60"/>
      <c r="DY154" s="60">
        <f t="shared" si="389"/>
        <v>0</v>
      </c>
      <c r="DZ154" s="60">
        <f t="shared" si="389"/>
        <v>0</v>
      </c>
      <c r="EA154" s="60"/>
      <c r="EB154" s="60"/>
      <c r="EC154" s="43">
        <f t="shared" si="390"/>
        <v>0</v>
      </c>
      <c r="ED154" s="43">
        <f t="shared" si="390"/>
        <v>0</v>
      </c>
      <c r="EE154" s="43"/>
      <c r="EF154" s="43"/>
      <c r="EG154" s="43" t="e">
        <f t="shared" si="423"/>
        <v>#DIV/0!</v>
      </c>
      <c r="EH154" s="43" t="e">
        <f t="shared" si="423"/>
        <v>#DIV/0!</v>
      </c>
      <c r="EI154" s="43">
        <f t="shared" si="391"/>
        <v>0</v>
      </c>
      <c r="EJ154" s="43">
        <f t="shared" si="391"/>
        <v>0</v>
      </c>
      <c r="EK154" s="43">
        <f t="shared" si="392"/>
        <v>0</v>
      </c>
      <c r="EL154" s="43">
        <f t="shared" si="392"/>
        <v>0</v>
      </c>
      <c r="EM154" s="43">
        <f t="shared" si="393"/>
        <v>0</v>
      </c>
      <c r="EN154" s="43">
        <f t="shared" si="393"/>
        <v>0</v>
      </c>
      <c r="EO154" s="43">
        <v>0</v>
      </c>
      <c r="EP154" s="43">
        <v>0</v>
      </c>
      <c r="EQ154" s="5"/>
      <c r="ER154" s="5"/>
      <c r="ES154" s="5"/>
      <c r="ET154" s="5"/>
      <c r="EU154" s="5">
        <f t="shared" si="270"/>
        <v>0</v>
      </c>
      <c r="EV154" s="5">
        <f t="shared" si="270"/>
        <v>0</v>
      </c>
      <c r="EW154" s="5">
        <v>0</v>
      </c>
      <c r="EX154" s="5">
        <v>0</v>
      </c>
      <c r="EY154" s="5">
        <v>0</v>
      </c>
      <c r="EZ154" s="5">
        <v>0</v>
      </c>
    </row>
    <row r="155" spans="1:159" ht="18.75" x14ac:dyDescent="0.25">
      <c r="A155" s="37">
        <v>17</v>
      </c>
      <c r="B155" s="37"/>
      <c r="C155" s="91" t="s">
        <v>136</v>
      </c>
      <c r="D155" s="38" t="s">
        <v>349</v>
      </c>
      <c r="E155" s="39"/>
      <c r="F155" s="40">
        <v>0</v>
      </c>
      <c r="G155" s="40">
        <v>0</v>
      </c>
      <c r="H155" s="40">
        <v>0</v>
      </c>
      <c r="I155" s="40">
        <v>0</v>
      </c>
      <c r="J155" s="41"/>
      <c r="K155" s="41"/>
      <c r="L155" s="41"/>
      <c r="M155" s="41">
        <f t="shared" si="367"/>
        <v>0</v>
      </c>
      <c r="N155" s="41"/>
      <c r="O155" s="41"/>
      <c r="P155" s="41"/>
      <c r="Q155" s="41">
        <f t="shared" si="415"/>
        <v>0</v>
      </c>
      <c r="R155" s="41">
        <f t="shared" si="369"/>
        <v>0</v>
      </c>
      <c r="S155" s="41"/>
      <c r="T155" s="92"/>
      <c r="U155" s="92"/>
      <c r="V155" s="40">
        <f t="shared" si="416"/>
        <v>0</v>
      </c>
      <c r="W155" s="40">
        <f t="shared" si="417"/>
        <v>0</v>
      </c>
      <c r="X155" s="43">
        <f t="shared" si="352"/>
        <v>0</v>
      </c>
      <c r="Y155" s="43">
        <f t="shared" si="352"/>
        <v>0</v>
      </c>
      <c r="Z155" s="43">
        <v>0</v>
      </c>
      <c r="AA155" s="43"/>
      <c r="AB155" s="43">
        <f t="shared" si="360"/>
        <v>0</v>
      </c>
      <c r="AC155" s="43">
        <f t="shared" si="361"/>
        <v>0</v>
      </c>
      <c r="AD155" s="43">
        <f t="shared" si="418"/>
        <v>0</v>
      </c>
      <c r="AE155" s="43">
        <f t="shared" si="418"/>
        <v>0</v>
      </c>
      <c r="AF155" s="43">
        <f t="shared" si="373"/>
        <v>0</v>
      </c>
      <c r="AG155" s="43">
        <f t="shared" si="353"/>
        <v>0</v>
      </c>
      <c r="AH155" s="43">
        <f t="shared" si="353"/>
        <v>0</v>
      </c>
      <c r="AI155" s="93">
        <f t="shared" si="354"/>
        <v>0</v>
      </c>
      <c r="AJ155" s="43">
        <f t="shared" si="354"/>
        <v>0</v>
      </c>
      <c r="AK155" s="43"/>
      <c r="AL155" s="43"/>
      <c r="AM155" s="43">
        <f t="shared" si="374"/>
        <v>0</v>
      </c>
      <c r="AN155" s="43">
        <f t="shared" si="375"/>
        <v>0</v>
      </c>
      <c r="AO155" s="43"/>
      <c r="AP155" s="43"/>
      <c r="AQ155" s="43">
        <f t="shared" si="355"/>
        <v>0</v>
      </c>
      <c r="AR155" s="43">
        <f t="shared" si="355"/>
        <v>0</v>
      </c>
      <c r="AS155" s="43"/>
      <c r="AT155" s="43"/>
      <c r="AU155" s="43">
        <f t="shared" ref="AU155:AV218" si="424">ROUND(AD155*25%,2)</f>
        <v>0</v>
      </c>
      <c r="AV155" s="43">
        <f t="shared" si="424"/>
        <v>0</v>
      </c>
      <c r="AW155" s="43"/>
      <c r="AX155" s="43"/>
      <c r="AY155" s="43">
        <f t="shared" si="349"/>
        <v>0</v>
      </c>
      <c r="AZ155" s="43">
        <f t="shared" si="349"/>
        <v>0</v>
      </c>
      <c r="BA155" s="43">
        <f t="shared" si="356"/>
        <v>0</v>
      </c>
      <c r="BB155" s="60">
        <v>0</v>
      </c>
      <c r="BC155" s="60"/>
      <c r="BD155" s="60">
        <f t="shared" si="350"/>
        <v>0</v>
      </c>
      <c r="BE155" s="60">
        <f t="shared" si="350"/>
        <v>0</v>
      </c>
      <c r="BF155" s="60">
        <f t="shared" si="351"/>
        <v>0</v>
      </c>
      <c r="BG155" s="60">
        <f t="shared" si="351"/>
        <v>0</v>
      </c>
      <c r="BH155" s="43">
        <v>0</v>
      </c>
      <c r="BI155" s="43">
        <v>0</v>
      </c>
      <c r="BJ155" s="43"/>
      <c r="BK155" s="43"/>
      <c r="BL155" s="43">
        <f t="shared" si="358"/>
        <v>0</v>
      </c>
      <c r="BM155" s="43">
        <f t="shared" si="358"/>
        <v>0</v>
      </c>
      <c r="BN155" s="43">
        <f t="shared" si="376"/>
        <v>0</v>
      </c>
      <c r="BO155" s="43">
        <v>0</v>
      </c>
      <c r="BP155" s="93"/>
      <c r="BQ155" s="43">
        <f t="shared" si="377"/>
        <v>0</v>
      </c>
      <c r="BR155" s="43">
        <f t="shared" si="377"/>
        <v>0</v>
      </c>
      <c r="BS155" s="43">
        <f t="shared" si="378"/>
        <v>0</v>
      </c>
      <c r="BT155" s="43">
        <f t="shared" si="378"/>
        <v>0</v>
      </c>
      <c r="BU155" s="43">
        <f t="shared" si="421"/>
        <v>0</v>
      </c>
      <c r="BV155" s="43">
        <f t="shared" si="422"/>
        <v>0</v>
      </c>
      <c r="BW155" s="43"/>
      <c r="BX155" s="43"/>
      <c r="BY155" s="43"/>
      <c r="BZ155" s="43"/>
      <c r="CA155" s="43">
        <v>0</v>
      </c>
      <c r="CB155" s="43">
        <v>0</v>
      </c>
      <c r="CC155" s="92">
        <v>0</v>
      </c>
      <c r="CD155" s="92">
        <v>0</v>
      </c>
      <c r="CE155" s="92">
        <v>0</v>
      </c>
      <c r="CF155" s="92">
        <v>0</v>
      </c>
      <c r="CG155" s="92">
        <f t="shared" si="379"/>
        <v>0</v>
      </c>
      <c r="CH155" s="92">
        <f t="shared" si="379"/>
        <v>0</v>
      </c>
      <c r="CI155" s="43"/>
      <c r="CJ155" s="43"/>
      <c r="CK155" s="43"/>
      <c r="CL155" s="43"/>
      <c r="CM155" s="43"/>
      <c r="CN155" s="43"/>
      <c r="CO155" s="43"/>
      <c r="CP155" s="43"/>
      <c r="CQ155" s="43">
        <f t="shared" si="380"/>
        <v>0</v>
      </c>
      <c r="CR155" s="43">
        <f t="shared" si="380"/>
        <v>0</v>
      </c>
      <c r="CS155" s="43">
        <f t="shared" si="381"/>
        <v>0</v>
      </c>
      <c r="CT155" s="43">
        <f t="shared" si="381"/>
        <v>0</v>
      </c>
      <c r="CU155" s="43">
        <f t="shared" si="381"/>
        <v>0</v>
      </c>
      <c r="CV155" s="43">
        <f t="shared" si="381"/>
        <v>0</v>
      </c>
      <c r="CW155" s="43">
        <f t="shared" si="382"/>
        <v>0</v>
      </c>
      <c r="CX155" s="43">
        <f t="shared" si="382"/>
        <v>0</v>
      </c>
      <c r="CY155" s="43"/>
      <c r="CZ155" s="43"/>
      <c r="DA155" s="43">
        <f t="shared" si="383"/>
        <v>0</v>
      </c>
      <c r="DB155" s="43">
        <f t="shared" si="383"/>
        <v>0</v>
      </c>
      <c r="DC155" s="43">
        <v>0</v>
      </c>
      <c r="DD155" s="43">
        <v>0</v>
      </c>
      <c r="DE155" s="43">
        <f t="shared" si="384"/>
        <v>0</v>
      </c>
      <c r="DF155" s="43">
        <f t="shared" si="384"/>
        <v>0</v>
      </c>
      <c r="DG155" s="43">
        <f t="shared" si="419"/>
        <v>0</v>
      </c>
      <c r="DH155" s="43">
        <f t="shared" si="419"/>
        <v>0</v>
      </c>
      <c r="DI155" s="43">
        <f t="shared" si="420"/>
        <v>0</v>
      </c>
      <c r="DJ155" s="43">
        <f t="shared" si="420"/>
        <v>0</v>
      </c>
      <c r="DK155" s="43"/>
      <c r="DL155" s="43"/>
      <c r="DM155" s="43">
        <f t="shared" si="385"/>
        <v>0</v>
      </c>
      <c r="DN155" s="43">
        <f t="shared" si="385"/>
        <v>0</v>
      </c>
      <c r="DO155" s="94">
        <v>0</v>
      </c>
      <c r="DP155" s="94">
        <v>0</v>
      </c>
      <c r="DQ155" s="60">
        <f t="shared" si="386"/>
        <v>0</v>
      </c>
      <c r="DR155" s="60">
        <f t="shared" si="386"/>
        <v>0</v>
      </c>
      <c r="DS155" s="60">
        <f t="shared" si="387"/>
        <v>0</v>
      </c>
      <c r="DT155" s="60">
        <f t="shared" si="387"/>
        <v>0</v>
      </c>
      <c r="DU155" s="60">
        <f t="shared" si="388"/>
        <v>0</v>
      </c>
      <c r="DV155" s="60">
        <f t="shared" si="388"/>
        <v>0</v>
      </c>
      <c r="DW155" s="60"/>
      <c r="DX155" s="60"/>
      <c r="DY155" s="60">
        <f t="shared" si="389"/>
        <v>0</v>
      </c>
      <c r="DZ155" s="60">
        <f t="shared" si="389"/>
        <v>0</v>
      </c>
      <c r="EA155" s="60"/>
      <c r="EB155" s="60"/>
      <c r="EC155" s="43">
        <f t="shared" si="390"/>
        <v>0</v>
      </c>
      <c r="ED155" s="43">
        <f t="shared" si="390"/>
        <v>0</v>
      </c>
      <c r="EE155" s="43"/>
      <c r="EF155" s="43"/>
      <c r="EG155" s="43" t="e">
        <f t="shared" si="423"/>
        <v>#DIV/0!</v>
      </c>
      <c r="EH155" s="43" t="e">
        <f t="shared" si="423"/>
        <v>#DIV/0!</v>
      </c>
      <c r="EI155" s="43">
        <f t="shared" si="391"/>
        <v>0</v>
      </c>
      <c r="EJ155" s="43">
        <f t="shared" si="391"/>
        <v>0</v>
      </c>
      <c r="EK155" s="43">
        <f t="shared" si="392"/>
        <v>0</v>
      </c>
      <c r="EL155" s="43">
        <f t="shared" si="392"/>
        <v>0</v>
      </c>
      <c r="EM155" s="43">
        <f t="shared" si="393"/>
        <v>0</v>
      </c>
      <c r="EN155" s="43">
        <f t="shared" si="393"/>
        <v>0</v>
      </c>
      <c r="EO155" s="43">
        <v>0</v>
      </c>
      <c r="EP155" s="43">
        <v>0</v>
      </c>
      <c r="EQ155" s="5"/>
      <c r="ER155" s="5"/>
      <c r="ES155" s="5"/>
      <c r="ET155" s="5"/>
      <c r="EU155" s="5">
        <f t="shared" si="270"/>
        <v>0</v>
      </c>
      <c r="EV155" s="5">
        <f t="shared" si="270"/>
        <v>0</v>
      </c>
      <c r="EW155" s="5">
        <v>0</v>
      </c>
      <c r="EX155" s="5">
        <v>0</v>
      </c>
      <c r="EY155" s="5">
        <v>0</v>
      </c>
      <c r="EZ155" s="5">
        <v>0</v>
      </c>
    </row>
    <row r="156" spans="1:159" ht="18.75" x14ac:dyDescent="0.25">
      <c r="A156" s="68"/>
      <c r="B156" s="68" t="s">
        <v>350</v>
      </c>
      <c r="C156" s="91" t="s">
        <v>136</v>
      </c>
      <c r="D156" s="67" t="s">
        <v>341</v>
      </c>
      <c r="E156" s="69" t="s">
        <v>351</v>
      </c>
      <c r="F156" s="70">
        <v>13690.599999999999</v>
      </c>
      <c r="G156" s="70">
        <v>16258.989999999998</v>
      </c>
      <c r="H156" s="70">
        <v>13614.599999999999</v>
      </c>
      <c r="I156" s="70">
        <v>16258.989999999998</v>
      </c>
      <c r="J156" s="71">
        <f t="shared" ref="J156:AA156" si="425">+J147+J148+J150+J149+J151+J152+J153+J154+J155</f>
        <v>15499.7</v>
      </c>
      <c r="K156" s="71">
        <f t="shared" si="425"/>
        <v>0</v>
      </c>
      <c r="L156" s="71">
        <f t="shared" si="425"/>
        <v>0.3</v>
      </c>
      <c r="M156" s="71">
        <f t="shared" si="425"/>
        <v>15500</v>
      </c>
      <c r="N156" s="71">
        <f t="shared" si="425"/>
        <v>0</v>
      </c>
      <c r="O156" s="71">
        <f t="shared" si="425"/>
        <v>0</v>
      </c>
      <c r="P156" s="71">
        <f t="shared" si="425"/>
        <v>0</v>
      </c>
      <c r="Q156" s="71">
        <f t="shared" si="425"/>
        <v>0</v>
      </c>
      <c r="R156" s="71">
        <f t="shared" si="425"/>
        <v>15500</v>
      </c>
      <c r="S156" s="71">
        <f t="shared" si="425"/>
        <v>18500</v>
      </c>
      <c r="T156" s="71">
        <f t="shared" si="425"/>
        <v>0</v>
      </c>
      <c r="U156" s="71">
        <f t="shared" si="425"/>
        <v>0</v>
      </c>
      <c r="V156" s="71">
        <f t="shared" si="425"/>
        <v>14408.33</v>
      </c>
      <c r="W156" s="71">
        <f t="shared" si="425"/>
        <v>16790.66</v>
      </c>
      <c r="X156" s="71">
        <f t="shared" si="425"/>
        <v>1091.67</v>
      </c>
      <c r="Y156" s="71">
        <f t="shared" si="425"/>
        <v>1709.3400000000001</v>
      </c>
      <c r="Z156" s="71">
        <f t="shared" si="425"/>
        <v>14408.33</v>
      </c>
      <c r="AA156" s="71">
        <f t="shared" si="425"/>
        <v>0</v>
      </c>
      <c r="AB156" s="70">
        <f t="shared" si="360"/>
        <v>14408.33</v>
      </c>
      <c r="AC156" s="43">
        <f t="shared" si="361"/>
        <v>0</v>
      </c>
      <c r="AD156" s="70">
        <f t="shared" ref="AD156:CO156" si="426">+AD147+AD148+AD150+AD149+AD151+AD152+AD153+AD154+AD155</f>
        <v>14408.33</v>
      </c>
      <c r="AE156" s="70">
        <f t="shared" si="426"/>
        <v>16790.66</v>
      </c>
      <c r="AF156" s="70">
        <f t="shared" si="426"/>
        <v>16690.7</v>
      </c>
      <c r="AG156" s="70">
        <f t="shared" si="426"/>
        <v>3602</v>
      </c>
      <c r="AH156" s="70">
        <f t="shared" si="426"/>
        <v>4198</v>
      </c>
      <c r="AI156" s="96">
        <f t="shared" si="426"/>
        <v>1201</v>
      </c>
      <c r="AJ156" s="70">
        <f t="shared" si="426"/>
        <v>1399</v>
      </c>
      <c r="AK156" s="70">
        <f t="shared" si="426"/>
        <v>0</v>
      </c>
      <c r="AL156" s="70">
        <f t="shared" si="426"/>
        <v>0</v>
      </c>
      <c r="AM156" s="70">
        <f t="shared" si="426"/>
        <v>3602.08</v>
      </c>
      <c r="AN156" s="70">
        <f t="shared" si="426"/>
        <v>4088.53</v>
      </c>
      <c r="AO156" s="70">
        <f t="shared" si="426"/>
        <v>0</v>
      </c>
      <c r="AP156" s="70">
        <f t="shared" si="426"/>
        <v>0</v>
      </c>
      <c r="AQ156" s="70">
        <f t="shared" si="426"/>
        <v>7204.08</v>
      </c>
      <c r="AR156" s="70">
        <f t="shared" si="426"/>
        <v>8286.5300000000007</v>
      </c>
      <c r="AS156" s="70">
        <f t="shared" si="426"/>
        <v>0</v>
      </c>
      <c r="AT156" s="70">
        <f t="shared" si="426"/>
        <v>0</v>
      </c>
      <c r="AU156" s="70">
        <f t="shared" si="426"/>
        <v>3602.08</v>
      </c>
      <c r="AV156" s="70">
        <f t="shared" si="426"/>
        <v>4197.67</v>
      </c>
      <c r="AW156" s="70">
        <f t="shared" si="426"/>
        <v>0</v>
      </c>
      <c r="AX156" s="70">
        <f t="shared" si="426"/>
        <v>1000</v>
      </c>
      <c r="AY156" s="70">
        <f t="shared" si="426"/>
        <v>12007.16</v>
      </c>
      <c r="AZ156" s="70">
        <f t="shared" si="426"/>
        <v>14883.2</v>
      </c>
      <c r="BA156" s="70">
        <f t="shared" si="426"/>
        <v>26890.36</v>
      </c>
      <c r="BB156" s="70">
        <f t="shared" si="426"/>
        <v>11384.36</v>
      </c>
      <c r="BC156" s="70">
        <f t="shared" si="426"/>
        <v>14431.39</v>
      </c>
      <c r="BD156" s="70">
        <f t="shared" si="426"/>
        <v>622.79999999999927</v>
      </c>
      <c r="BE156" s="70">
        <f t="shared" si="426"/>
        <v>451.81000000000131</v>
      </c>
      <c r="BF156" s="70">
        <f t="shared" si="426"/>
        <v>2276.87</v>
      </c>
      <c r="BG156" s="96">
        <f t="shared" si="426"/>
        <v>2886.28</v>
      </c>
      <c r="BH156" s="96">
        <f t="shared" si="426"/>
        <v>827.04</v>
      </c>
      <c r="BI156" s="96">
        <f t="shared" si="426"/>
        <v>1165</v>
      </c>
      <c r="BJ156" s="96">
        <f t="shared" si="426"/>
        <v>0</v>
      </c>
      <c r="BK156" s="96">
        <f t="shared" si="426"/>
        <v>0</v>
      </c>
      <c r="BL156" s="96">
        <f t="shared" si="426"/>
        <v>12834.2</v>
      </c>
      <c r="BM156" s="96">
        <f t="shared" si="426"/>
        <v>16048.2</v>
      </c>
      <c r="BN156" s="96">
        <f t="shared" si="426"/>
        <v>28882.400000000001</v>
      </c>
      <c r="BO156" s="96">
        <f t="shared" si="426"/>
        <v>12592.16</v>
      </c>
      <c r="BP156" s="96">
        <f t="shared" si="426"/>
        <v>15992.41</v>
      </c>
      <c r="BQ156" s="70">
        <f t="shared" si="426"/>
        <v>242.04000000000087</v>
      </c>
      <c r="BR156" s="70">
        <f t="shared" si="426"/>
        <v>55.790000000000873</v>
      </c>
      <c r="BS156" s="70">
        <f t="shared" si="426"/>
        <v>1144.74</v>
      </c>
      <c r="BT156" s="70">
        <f t="shared" si="426"/>
        <v>1453.86</v>
      </c>
      <c r="BU156" s="70">
        <f t="shared" si="426"/>
        <v>902.7</v>
      </c>
      <c r="BV156" s="70">
        <f t="shared" si="426"/>
        <v>1358.56</v>
      </c>
      <c r="BW156" s="70">
        <f t="shared" si="426"/>
        <v>200</v>
      </c>
      <c r="BX156" s="70">
        <f t="shared" si="426"/>
        <v>350</v>
      </c>
      <c r="BY156" s="70">
        <f t="shared" si="426"/>
        <v>0</v>
      </c>
      <c r="BZ156" s="70">
        <f t="shared" si="426"/>
        <v>0</v>
      </c>
      <c r="CA156" s="70">
        <f t="shared" si="426"/>
        <v>13936.900000000001</v>
      </c>
      <c r="CB156" s="70">
        <f t="shared" si="426"/>
        <v>17756.760000000002</v>
      </c>
      <c r="CC156" s="70">
        <f t="shared" si="426"/>
        <v>15330.59</v>
      </c>
      <c r="CD156" s="70">
        <f t="shared" si="426"/>
        <v>20420.27</v>
      </c>
      <c r="CE156" s="70">
        <f t="shared" si="426"/>
        <v>1500</v>
      </c>
      <c r="CF156" s="70">
        <f t="shared" si="426"/>
        <v>2500</v>
      </c>
      <c r="CG156" s="70">
        <f t="shared" si="426"/>
        <v>3484.23</v>
      </c>
      <c r="CH156" s="96">
        <f t="shared" si="426"/>
        <v>4439.1899999999996</v>
      </c>
      <c r="CI156" s="70">
        <f t="shared" si="426"/>
        <v>0</v>
      </c>
      <c r="CJ156" s="70">
        <f t="shared" si="426"/>
        <v>0</v>
      </c>
      <c r="CK156" s="70">
        <f t="shared" si="426"/>
        <v>3900</v>
      </c>
      <c r="CL156" s="70">
        <f t="shared" si="426"/>
        <v>5000</v>
      </c>
      <c r="CM156" s="70">
        <f t="shared" si="426"/>
        <v>0</v>
      </c>
      <c r="CN156" s="70">
        <f t="shared" si="426"/>
        <v>0</v>
      </c>
      <c r="CO156" s="70">
        <f t="shared" si="426"/>
        <v>15300</v>
      </c>
      <c r="CP156" s="70">
        <f t="shared" ref="CP156:FC156" si="427">+CP147+CP148+CP150+CP149+CP151+CP152+CP153+CP154+CP155</f>
        <v>19000</v>
      </c>
      <c r="CQ156" s="70">
        <f t="shared" si="427"/>
        <v>15600</v>
      </c>
      <c r="CR156" s="70">
        <f t="shared" si="427"/>
        <v>20000</v>
      </c>
      <c r="CS156" s="70">
        <f t="shared" si="427"/>
        <v>15300</v>
      </c>
      <c r="CT156" s="70">
        <f t="shared" si="427"/>
        <v>19000</v>
      </c>
      <c r="CU156" s="70">
        <f t="shared" si="427"/>
        <v>15300</v>
      </c>
      <c r="CV156" s="70">
        <f t="shared" si="427"/>
        <v>19000</v>
      </c>
      <c r="CW156" s="70">
        <f t="shared" si="427"/>
        <v>3825</v>
      </c>
      <c r="CX156" s="70">
        <f t="shared" si="427"/>
        <v>4750</v>
      </c>
      <c r="CY156" s="70">
        <f t="shared" si="427"/>
        <v>0</v>
      </c>
      <c r="CZ156" s="70">
        <f t="shared" si="427"/>
        <v>0</v>
      </c>
      <c r="DA156" s="70">
        <f t="shared" si="427"/>
        <v>9225</v>
      </c>
      <c r="DB156" s="70">
        <f t="shared" si="427"/>
        <v>12250</v>
      </c>
      <c r="DC156" s="70">
        <f t="shared" si="427"/>
        <v>8206.1200000000008</v>
      </c>
      <c r="DD156" s="70">
        <f t="shared" si="427"/>
        <v>12189.88</v>
      </c>
      <c r="DE156" s="70">
        <f t="shared" si="427"/>
        <v>1018.8799999999992</v>
      </c>
      <c r="DF156" s="70">
        <f t="shared" si="427"/>
        <v>60.1200000000008</v>
      </c>
      <c r="DG156" s="70">
        <f t="shared" si="427"/>
        <v>3825</v>
      </c>
      <c r="DH156" s="70">
        <f t="shared" si="427"/>
        <v>4750</v>
      </c>
      <c r="DI156" s="70">
        <f t="shared" si="427"/>
        <v>2806.1200000000008</v>
      </c>
      <c r="DJ156" s="70">
        <f t="shared" si="427"/>
        <v>4689.8799999999992</v>
      </c>
      <c r="DK156" s="70">
        <f t="shared" si="427"/>
        <v>0</v>
      </c>
      <c r="DL156" s="70">
        <f t="shared" si="427"/>
        <v>700</v>
      </c>
      <c r="DM156" s="70">
        <f t="shared" si="427"/>
        <v>12031.12</v>
      </c>
      <c r="DN156" s="70">
        <f t="shared" si="427"/>
        <v>17639.879999999997</v>
      </c>
      <c r="DO156" s="70">
        <f t="shared" si="427"/>
        <v>11829.5</v>
      </c>
      <c r="DP156" s="70">
        <f t="shared" si="427"/>
        <v>17272.689999999999</v>
      </c>
      <c r="DQ156" s="70">
        <f t="shared" si="427"/>
        <v>201.62</v>
      </c>
      <c r="DR156" s="70">
        <f t="shared" si="427"/>
        <v>367.19</v>
      </c>
      <c r="DS156" s="70">
        <f t="shared" si="427"/>
        <v>1182.95</v>
      </c>
      <c r="DT156" s="70">
        <f t="shared" si="427"/>
        <v>1727.2689999999998</v>
      </c>
      <c r="DU156" s="70">
        <f t="shared" si="427"/>
        <v>981.33</v>
      </c>
      <c r="DV156" s="70">
        <f t="shared" si="427"/>
        <v>1360.0789999999997</v>
      </c>
      <c r="DW156" s="70">
        <f t="shared" si="427"/>
        <v>0</v>
      </c>
      <c r="DX156" s="70">
        <f t="shared" si="427"/>
        <v>500</v>
      </c>
      <c r="DY156" s="70">
        <f t="shared" si="427"/>
        <v>1100</v>
      </c>
      <c r="DZ156" s="70">
        <f t="shared" si="427"/>
        <v>1860.08</v>
      </c>
      <c r="EA156" s="70">
        <f t="shared" si="427"/>
        <v>0</v>
      </c>
      <c r="EB156" s="96">
        <f t="shared" si="427"/>
        <v>0</v>
      </c>
      <c r="EC156" s="70">
        <f t="shared" si="427"/>
        <v>13131.12</v>
      </c>
      <c r="ED156" s="70">
        <f t="shared" si="427"/>
        <v>19499.96</v>
      </c>
      <c r="EE156" s="70">
        <f t="shared" si="427"/>
        <v>13032.15</v>
      </c>
      <c r="EF156" s="70">
        <f t="shared" si="427"/>
        <v>19123.060000000001</v>
      </c>
      <c r="EG156" s="70" t="e">
        <f t="shared" si="427"/>
        <v>#DIV/0!</v>
      </c>
      <c r="EH156" s="70" t="e">
        <f t="shared" si="427"/>
        <v>#DIV/0!</v>
      </c>
      <c r="EI156" s="70">
        <f t="shared" si="427"/>
        <v>98.97</v>
      </c>
      <c r="EJ156" s="70">
        <f t="shared" si="427"/>
        <v>376.9</v>
      </c>
      <c r="EK156" s="70">
        <f t="shared" si="427"/>
        <v>1184.74</v>
      </c>
      <c r="EL156" s="70">
        <f t="shared" si="427"/>
        <v>1738.46</v>
      </c>
      <c r="EM156" s="70">
        <f t="shared" si="427"/>
        <v>1085.77</v>
      </c>
      <c r="EN156" s="70">
        <f t="shared" si="427"/>
        <v>1361.56</v>
      </c>
      <c r="EO156" s="70">
        <f t="shared" si="427"/>
        <v>1100</v>
      </c>
      <c r="EP156" s="70">
        <f t="shared" si="427"/>
        <v>1700</v>
      </c>
      <c r="EQ156" s="66">
        <f t="shared" si="427"/>
        <v>0</v>
      </c>
      <c r="ER156" s="46">
        <f t="shared" si="427"/>
        <v>0</v>
      </c>
      <c r="ES156" s="46">
        <f t="shared" si="427"/>
        <v>0</v>
      </c>
      <c r="ET156" s="46">
        <f t="shared" si="427"/>
        <v>0</v>
      </c>
      <c r="EU156" s="5">
        <f t="shared" si="270"/>
        <v>1068.8799999999992</v>
      </c>
      <c r="EV156" s="5">
        <f t="shared" si="270"/>
        <v>800.04000000000087</v>
      </c>
      <c r="EW156" s="46">
        <f t="shared" si="427"/>
        <v>15300</v>
      </c>
      <c r="EX156" s="46">
        <f t="shared" si="427"/>
        <v>22000</v>
      </c>
      <c r="EY156" s="46">
        <f t="shared" si="427"/>
        <v>16000</v>
      </c>
      <c r="EZ156" s="46">
        <f t="shared" si="427"/>
        <v>23000</v>
      </c>
      <c r="FA156" s="46">
        <f t="shared" si="427"/>
        <v>0</v>
      </c>
      <c r="FB156" s="46">
        <f t="shared" si="427"/>
        <v>0</v>
      </c>
      <c r="FC156" s="46">
        <f t="shared" si="427"/>
        <v>0</v>
      </c>
    </row>
    <row r="157" spans="1:159" ht="18.75" x14ac:dyDescent="0.25">
      <c r="A157" s="68">
        <v>18</v>
      </c>
      <c r="B157" s="68" t="s">
        <v>352</v>
      </c>
      <c r="C157" s="91" t="s">
        <v>193</v>
      </c>
      <c r="D157" s="67" t="s">
        <v>353</v>
      </c>
      <c r="E157" s="69" t="s">
        <v>354</v>
      </c>
      <c r="F157" s="40">
        <v>814.03</v>
      </c>
      <c r="G157" s="40">
        <v>19.7</v>
      </c>
      <c r="H157" s="40">
        <v>814.03</v>
      </c>
      <c r="I157" s="70">
        <v>19.7</v>
      </c>
      <c r="J157" s="71">
        <v>900</v>
      </c>
      <c r="K157" s="71">
        <v>0</v>
      </c>
      <c r="L157" s="71">
        <v>0</v>
      </c>
      <c r="M157" s="71">
        <f>+J157+L157+K157</f>
        <v>900</v>
      </c>
      <c r="N157" s="71">
        <v>0</v>
      </c>
      <c r="O157" s="71">
        <v>0</v>
      </c>
      <c r="P157" s="71">
        <v>0</v>
      </c>
      <c r="Q157" s="71">
        <f>+N157+P157+O157</f>
        <v>0</v>
      </c>
      <c r="R157" s="71">
        <f>+M157+Q157</f>
        <v>900</v>
      </c>
      <c r="S157" s="71">
        <v>85</v>
      </c>
      <c r="T157" s="92"/>
      <c r="U157" s="92"/>
      <c r="V157" s="70">
        <f t="shared" ref="V157:V159" si="428">ROUND(H157*1.0583,2)</f>
        <v>861.49</v>
      </c>
      <c r="W157" s="70">
        <f t="shared" ref="W157:W159" si="429">ROUND(I157*1.0327,2)</f>
        <v>20.34</v>
      </c>
      <c r="X157" s="70">
        <f t="shared" si="352"/>
        <v>38.509999999999991</v>
      </c>
      <c r="Y157" s="70">
        <f t="shared" si="352"/>
        <v>64.66</v>
      </c>
      <c r="Z157" s="70">
        <v>861.49</v>
      </c>
      <c r="AA157" s="70"/>
      <c r="AB157" s="70">
        <f t="shared" si="360"/>
        <v>861.49</v>
      </c>
      <c r="AC157" s="43">
        <f t="shared" si="361"/>
        <v>0</v>
      </c>
      <c r="AD157" s="70">
        <f t="shared" ref="AD157:AE159" si="430">IF(X157&gt;0,V157,R157)</f>
        <v>861.49</v>
      </c>
      <c r="AE157" s="70">
        <f>IF(Y157&gt;0,W157,S157)+128</f>
        <v>148.34</v>
      </c>
      <c r="AF157" s="70">
        <f t="shared" si="373"/>
        <v>76.69</v>
      </c>
      <c r="AG157" s="43">
        <f t="shared" si="353"/>
        <v>215</v>
      </c>
      <c r="AH157" s="43">
        <v>5</v>
      </c>
      <c r="AI157" s="93">
        <f t="shared" si="354"/>
        <v>72</v>
      </c>
      <c r="AJ157" s="43">
        <v>2</v>
      </c>
      <c r="AK157" s="43"/>
      <c r="AL157" s="43">
        <v>74</v>
      </c>
      <c r="AM157" s="43">
        <f t="shared" si="374"/>
        <v>215.37</v>
      </c>
      <c r="AN157" s="43">
        <f>ROUND(AE157*24.35%,2)+0.88</f>
        <v>37</v>
      </c>
      <c r="AO157" s="43"/>
      <c r="AP157" s="43"/>
      <c r="AQ157" s="43">
        <f t="shared" si="355"/>
        <v>430.37</v>
      </c>
      <c r="AR157" s="43">
        <f t="shared" si="355"/>
        <v>116</v>
      </c>
      <c r="AS157" s="43"/>
      <c r="AT157" s="43"/>
      <c r="AU157" s="43">
        <f t="shared" si="424"/>
        <v>215.37</v>
      </c>
      <c r="AV157" s="43">
        <f>ROUND(AE157*25%,2)-9.09</f>
        <v>28.000000000000004</v>
      </c>
      <c r="AW157" s="43"/>
      <c r="AX157" s="43"/>
      <c r="AY157" s="43">
        <f t="shared" si="349"/>
        <v>717.74</v>
      </c>
      <c r="AZ157" s="43">
        <f t="shared" si="349"/>
        <v>146</v>
      </c>
      <c r="BA157" s="43">
        <f t="shared" si="356"/>
        <v>863.74</v>
      </c>
      <c r="BB157" s="60">
        <v>663.39</v>
      </c>
      <c r="BC157" s="60">
        <v>141.47</v>
      </c>
      <c r="BD157" s="60">
        <f t="shared" si="350"/>
        <v>54.350000000000023</v>
      </c>
      <c r="BE157" s="60">
        <f t="shared" si="350"/>
        <v>4.5300000000000011</v>
      </c>
      <c r="BF157" s="60">
        <f t="shared" si="351"/>
        <v>132.68</v>
      </c>
      <c r="BG157" s="60">
        <f t="shared" si="351"/>
        <v>28.29</v>
      </c>
      <c r="BH157" s="43">
        <v>39.17</v>
      </c>
      <c r="BI157" s="43">
        <v>0</v>
      </c>
      <c r="BJ157" s="43"/>
      <c r="BK157" s="43"/>
      <c r="BL157" s="43">
        <f t="shared" si="358"/>
        <v>756.91</v>
      </c>
      <c r="BM157" s="43">
        <f t="shared" si="358"/>
        <v>146</v>
      </c>
      <c r="BN157" s="43">
        <f t="shared" si="376"/>
        <v>902.91</v>
      </c>
      <c r="BO157" s="43">
        <v>736.51</v>
      </c>
      <c r="BP157" s="93">
        <v>143.18</v>
      </c>
      <c r="BQ157" s="43">
        <f t="shared" si="377"/>
        <v>20.399999999999977</v>
      </c>
      <c r="BR157" s="43">
        <f t="shared" si="377"/>
        <v>2.8199999999999932</v>
      </c>
      <c r="BS157" s="43">
        <f t="shared" si="378"/>
        <v>66.959999999999994</v>
      </c>
      <c r="BT157" s="43">
        <f t="shared" si="378"/>
        <v>13.02</v>
      </c>
      <c r="BU157" s="43">
        <f t="shared" si="421"/>
        <v>46.560000000000016</v>
      </c>
      <c r="BV157" s="43">
        <v>0</v>
      </c>
      <c r="BW157" s="43">
        <v>17.53</v>
      </c>
      <c r="BX157" s="43"/>
      <c r="BY157" s="43"/>
      <c r="BZ157" s="43"/>
      <c r="CA157" s="43">
        <v>821</v>
      </c>
      <c r="CB157" s="43">
        <v>146</v>
      </c>
      <c r="CC157" s="92">
        <v>903.1</v>
      </c>
      <c r="CD157" s="92">
        <v>167.9</v>
      </c>
      <c r="CE157" s="92">
        <v>75</v>
      </c>
      <c r="CF157" s="92">
        <v>14</v>
      </c>
      <c r="CG157" s="92">
        <f t="shared" si="379"/>
        <v>205.25</v>
      </c>
      <c r="CH157" s="92">
        <f t="shared" si="379"/>
        <v>36.5</v>
      </c>
      <c r="CI157" s="43"/>
      <c r="CJ157" s="43"/>
      <c r="CK157" s="43">
        <v>230</v>
      </c>
      <c r="CL157" s="43">
        <v>0</v>
      </c>
      <c r="CM157" s="43"/>
      <c r="CN157" s="43"/>
      <c r="CO157" s="43">
        <v>920</v>
      </c>
      <c r="CP157" s="72">
        <v>120</v>
      </c>
      <c r="CQ157" s="43">
        <f t="shared" si="380"/>
        <v>920</v>
      </c>
      <c r="CR157" s="43">
        <f t="shared" si="380"/>
        <v>0</v>
      </c>
      <c r="CS157" s="43">
        <f t="shared" si="381"/>
        <v>920</v>
      </c>
      <c r="CT157" s="117">
        <f>IF(CP157&lt;CR157,CP157,CR157)+120</f>
        <v>120</v>
      </c>
      <c r="CU157" s="43">
        <v>920</v>
      </c>
      <c r="CV157" s="43">
        <v>120</v>
      </c>
      <c r="CW157" s="43">
        <f t="shared" si="382"/>
        <v>230</v>
      </c>
      <c r="CX157" s="43">
        <f>ROUND(CV157*25%,2)-5</f>
        <v>25</v>
      </c>
      <c r="CY157" s="43"/>
      <c r="CZ157" s="43"/>
      <c r="DA157" s="43">
        <f t="shared" si="383"/>
        <v>535</v>
      </c>
      <c r="DB157" s="43">
        <f t="shared" si="383"/>
        <v>39</v>
      </c>
      <c r="DC157" s="43">
        <v>519.03</v>
      </c>
      <c r="DD157" s="43">
        <v>26.02</v>
      </c>
      <c r="DE157" s="43">
        <f t="shared" si="384"/>
        <v>15.970000000000027</v>
      </c>
      <c r="DF157" s="43">
        <f t="shared" si="384"/>
        <v>12.98</v>
      </c>
      <c r="DG157" s="43">
        <f t="shared" ref="DG157:DH159" si="431">ROUND(0.25*(MIN(CU157,EW157)),2)</f>
        <v>230</v>
      </c>
      <c r="DH157" s="43">
        <f t="shared" si="431"/>
        <v>26.2</v>
      </c>
      <c r="DI157" s="43">
        <f>+DG157-DE157</f>
        <v>214.02999999999997</v>
      </c>
      <c r="DJ157" s="43">
        <f>+DH157-DF157</f>
        <v>13.219999999999999</v>
      </c>
      <c r="DK157" s="43">
        <v>47</v>
      </c>
      <c r="DL157" s="43">
        <v>0</v>
      </c>
      <c r="DM157" s="43">
        <f t="shared" si="385"/>
        <v>796.03</v>
      </c>
      <c r="DN157" s="43">
        <f t="shared" si="385"/>
        <v>52.22</v>
      </c>
      <c r="DO157" s="94">
        <v>781.79</v>
      </c>
      <c r="DP157" s="95">
        <v>26.3</v>
      </c>
      <c r="DQ157" s="60">
        <f t="shared" si="386"/>
        <v>14.24</v>
      </c>
      <c r="DR157" s="60">
        <f t="shared" si="386"/>
        <v>25.92</v>
      </c>
      <c r="DS157" s="60">
        <f t="shared" si="387"/>
        <v>78.179000000000002</v>
      </c>
      <c r="DT157" s="60">
        <f t="shared" si="387"/>
        <v>2.63</v>
      </c>
      <c r="DU157" s="60">
        <f t="shared" si="388"/>
        <v>63.939</v>
      </c>
      <c r="DV157" s="60">
        <f t="shared" si="388"/>
        <v>-23.290000000000003</v>
      </c>
      <c r="DW157" s="60"/>
      <c r="DX157" s="60"/>
      <c r="DY157" s="60">
        <f t="shared" si="389"/>
        <v>63.94</v>
      </c>
      <c r="DZ157" s="60">
        <v>0</v>
      </c>
      <c r="EA157" s="60"/>
      <c r="EB157" s="60"/>
      <c r="EC157" s="43">
        <f t="shared" si="390"/>
        <v>859.97</v>
      </c>
      <c r="ED157" s="43">
        <f t="shared" si="390"/>
        <v>52.22</v>
      </c>
      <c r="EE157" s="43">
        <v>855.33</v>
      </c>
      <c r="EF157" s="43">
        <v>46.3</v>
      </c>
      <c r="EG157" s="43">
        <f t="shared" si="423"/>
        <v>99.46</v>
      </c>
      <c r="EH157" s="43">
        <f t="shared" si="423"/>
        <v>88.66</v>
      </c>
      <c r="EI157" s="43">
        <f t="shared" si="391"/>
        <v>4.6399999999999997</v>
      </c>
      <c r="EJ157" s="43">
        <f t="shared" si="391"/>
        <v>5.92</v>
      </c>
      <c r="EK157" s="43">
        <f t="shared" si="392"/>
        <v>77.760000000000005</v>
      </c>
      <c r="EL157" s="43">
        <f t="shared" si="392"/>
        <v>4.21</v>
      </c>
      <c r="EM157" s="43">
        <f t="shared" si="393"/>
        <v>73.12</v>
      </c>
      <c r="EN157" s="43">
        <f t="shared" si="393"/>
        <v>-1.71</v>
      </c>
      <c r="EO157" s="43">
        <v>85</v>
      </c>
      <c r="EP157" s="43">
        <v>32</v>
      </c>
      <c r="EQ157" s="5"/>
      <c r="ER157" s="5"/>
      <c r="ES157" s="5"/>
      <c r="ET157" s="5"/>
      <c r="EU157" s="5">
        <f t="shared" si="270"/>
        <v>4.8799999999999955</v>
      </c>
      <c r="EV157" s="5">
        <f t="shared" si="270"/>
        <v>20.560000000000002</v>
      </c>
      <c r="EW157" s="5">
        <v>949.85</v>
      </c>
      <c r="EX157" s="5">
        <v>104.78</v>
      </c>
      <c r="EY157" s="5">
        <v>1092.32</v>
      </c>
      <c r="EZ157" s="5">
        <v>95</v>
      </c>
    </row>
    <row r="158" spans="1:159" ht="18.75" x14ac:dyDescent="0.25">
      <c r="A158" s="37">
        <v>19</v>
      </c>
      <c r="B158" s="37"/>
      <c r="C158" s="91" t="s">
        <v>218</v>
      </c>
      <c r="D158" s="38" t="s">
        <v>355</v>
      </c>
      <c r="E158" s="39"/>
      <c r="F158" s="40">
        <v>1077.29</v>
      </c>
      <c r="G158" s="40">
        <v>529.36</v>
      </c>
      <c r="H158" s="40">
        <v>1077.29</v>
      </c>
      <c r="I158" s="40">
        <v>529.36</v>
      </c>
      <c r="J158" s="41">
        <v>1103</v>
      </c>
      <c r="K158" s="41">
        <v>0</v>
      </c>
      <c r="L158" s="41">
        <v>0</v>
      </c>
      <c r="M158" s="41">
        <f t="shared" ref="M158:M159" si="432">J158+K158+L158</f>
        <v>1103</v>
      </c>
      <c r="N158" s="41">
        <v>0</v>
      </c>
      <c r="O158" s="41">
        <v>0</v>
      </c>
      <c r="P158" s="41">
        <v>0</v>
      </c>
      <c r="Q158" s="41">
        <f t="shared" ref="Q158:Q159" si="433">N158+O158+P158</f>
        <v>0</v>
      </c>
      <c r="R158" s="41">
        <f t="shared" ref="R158:R159" si="434">+Q158+M158</f>
        <v>1103</v>
      </c>
      <c r="S158" s="41">
        <v>300</v>
      </c>
      <c r="T158" s="92"/>
      <c r="U158" s="92"/>
      <c r="V158" s="40">
        <f t="shared" si="428"/>
        <v>1140.0999999999999</v>
      </c>
      <c r="W158" s="40">
        <f t="shared" si="429"/>
        <v>546.66999999999996</v>
      </c>
      <c r="X158" s="43">
        <f t="shared" si="352"/>
        <v>-37.099999999999909</v>
      </c>
      <c r="Y158" s="43">
        <f t="shared" si="352"/>
        <v>-246.66999999999996</v>
      </c>
      <c r="Z158" s="43">
        <v>1103</v>
      </c>
      <c r="AA158" s="43"/>
      <c r="AB158" s="43">
        <f t="shared" si="360"/>
        <v>1103</v>
      </c>
      <c r="AC158" s="43">
        <f t="shared" si="361"/>
        <v>0</v>
      </c>
      <c r="AD158" s="43">
        <f t="shared" si="430"/>
        <v>1103</v>
      </c>
      <c r="AE158" s="43">
        <f t="shared" si="430"/>
        <v>300</v>
      </c>
      <c r="AF158" s="43">
        <f t="shared" si="373"/>
        <v>270.66000000000003</v>
      </c>
      <c r="AG158" s="43">
        <f t="shared" si="353"/>
        <v>276</v>
      </c>
      <c r="AH158" s="43">
        <f t="shared" si="353"/>
        <v>75</v>
      </c>
      <c r="AI158" s="93">
        <f t="shared" si="354"/>
        <v>92</v>
      </c>
      <c r="AJ158" s="43">
        <f t="shared" si="354"/>
        <v>25</v>
      </c>
      <c r="AK158" s="43"/>
      <c r="AL158" s="43"/>
      <c r="AM158" s="43">
        <f t="shared" si="374"/>
        <v>275.75</v>
      </c>
      <c r="AN158" s="43">
        <f t="shared" si="375"/>
        <v>73.05</v>
      </c>
      <c r="AO158" s="43"/>
      <c r="AP158" s="43"/>
      <c r="AQ158" s="43">
        <f t="shared" si="355"/>
        <v>551.75</v>
      </c>
      <c r="AR158" s="43">
        <f t="shared" si="355"/>
        <v>148.05000000000001</v>
      </c>
      <c r="AS158" s="43"/>
      <c r="AT158" s="43"/>
      <c r="AU158" s="43">
        <f t="shared" si="424"/>
        <v>275.75</v>
      </c>
      <c r="AV158" s="43">
        <f>ROUND(AE158*25%,2)-48.05</f>
        <v>26.950000000000003</v>
      </c>
      <c r="AW158" s="43"/>
      <c r="AX158" s="43"/>
      <c r="AY158" s="43">
        <f t="shared" si="349"/>
        <v>919.5</v>
      </c>
      <c r="AZ158" s="43">
        <f t="shared" si="349"/>
        <v>200</v>
      </c>
      <c r="BA158" s="43">
        <f t="shared" si="356"/>
        <v>1119.5</v>
      </c>
      <c r="BB158" s="60">
        <v>886.02</v>
      </c>
      <c r="BC158" s="60">
        <v>188.33</v>
      </c>
      <c r="BD158" s="60">
        <f t="shared" si="350"/>
        <v>33.480000000000018</v>
      </c>
      <c r="BE158" s="60">
        <f t="shared" si="350"/>
        <v>11.669999999999987</v>
      </c>
      <c r="BF158" s="60">
        <f t="shared" si="351"/>
        <v>177.2</v>
      </c>
      <c r="BG158" s="60">
        <f t="shared" si="351"/>
        <v>37.67</v>
      </c>
      <c r="BH158" s="43">
        <v>71.86</v>
      </c>
      <c r="BI158" s="43">
        <v>33</v>
      </c>
      <c r="BJ158" s="43"/>
      <c r="BK158" s="43"/>
      <c r="BL158" s="43">
        <f t="shared" si="358"/>
        <v>991.36</v>
      </c>
      <c r="BM158" s="43">
        <f t="shared" si="358"/>
        <v>233</v>
      </c>
      <c r="BN158" s="43">
        <f t="shared" si="376"/>
        <v>1224.3600000000001</v>
      </c>
      <c r="BO158" s="43">
        <v>982.74</v>
      </c>
      <c r="BP158" s="93">
        <v>190.35</v>
      </c>
      <c r="BQ158" s="43">
        <f t="shared" si="377"/>
        <v>8.6200000000000045</v>
      </c>
      <c r="BR158" s="43">
        <f t="shared" si="377"/>
        <v>42.650000000000006</v>
      </c>
      <c r="BS158" s="43">
        <f t="shared" si="378"/>
        <v>89.34</v>
      </c>
      <c r="BT158" s="43">
        <f t="shared" si="378"/>
        <v>17.3</v>
      </c>
      <c r="BU158" s="43">
        <v>95</v>
      </c>
      <c r="BV158" s="43">
        <v>15</v>
      </c>
      <c r="BW158" s="43"/>
      <c r="BX158" s="43">
        <v>42</v>
      </c>
      <c r="BY158" s="43"/>
      <c r="BZ158" s="43"/>
      <c r="CA158" s="43">
        <v>1086.3600000000001</v>
      </c>
      <c r="CB158" s="43">
        <v>290</v>
      </c>
      <c r="CC158" s="92">
        <v>1195</v>
      </c>
      <c r="CD158" s="92">
        <v>333.5</v>
      </c>
      <c r="CE158" s="92">
        <v>100</v>
      </c>
      <c r="CF158" s="92">
        <v>28</v>
      </c>
      <c r="CG158" s="92">
        <f t="shared" si="379"/>
        <v>271.58999999999997</v>
      </c>
      <c r="CH158" s="92">
        <f t="shared" si="379"/>
        <v>72.5</v>
      </c>
      <c r="CI158" s="43"/>
      <c r="CJ158" s="43"/>
      <c r="CK158" s="43">
        <v>300</v>
      </c>
      <c r="CL158" s="72">
        <f>135-50</f>
        <v>85</v>
      </c>
      <c r="CM158" s="72"/>
      <c r="CN158" s="72">
        <v>50</v>
      </c>
      <c r="CO158" s="43">
        <v>1200</v>
      </c>
      <c r="CP158" s="43">
        <v>250</v>
      </c>
      <c r="CQ158" s="43">
        <f t="shared" si="380"/>
        <v>1200</v>
      </c>
      <c r="CR158" s="43">
        <f t="shared" si="380"/>
        <v>340</v>
      </c>
      <c r="CS158" s="43">
        <f t="shared" si="381"/>
        <v>1200</v>
      </c>
      <c r="CT158" s="43">
        <f t="shared" si="381"/>
        <v>250</v>
      </c>
      <c r="CU158" s="43">
        <f t="shared" si="381"/>
        <v>1200</v>
      </c>
      <c r="CV158" s="43">
        <f t="shared" si="381"/>
        <v>250</v>
      </c>
      <c r="CW158" s="43">
        <f t="shared" si="382"/>
        <v>300</v>
      </c>
      <c r="CX158" s="43">
        <f>ROUND(CV158*25%,2)-6</f>
        <v>56.5</v>
      </c>
      <c r="CY158" s="43"/>
      <c r="CZ158" s="43"/>
      <c r="DA158" s="43">
        <f t="shared" si="383"/>
        <v>700</v>
      </c>
      <c r="DB158" s="43">
        <f t="shared" si="383"/>
        <v>219.5</v>
      </c>
      <c r="DC158" s="43">
        <v>643.70000000000005</v>
      </c>
      <c r="DD158" s="43">
        <v>158.49</v>
      </c>
      <c r="DE158" s="43">
        <f t="shared" si="384"/>
        <v>56.299999999999955</v>
      </c>
      <c r="DF158" s="43">
        <f t="shared" si="384"/>
        <v>61.009999999999991</v>
      </c>
      <c r="DG158" s="43">
        <f t="shared" si="431"/>
        <v>300</v>
      </c>
      <c r="DH158" s="43">
        <f t="shared" si="431"/>
        <v>45</v>
      </c>
      <c r="DI158" s="43">
        <f>+DG158-DE158</f>
        <v>243.70000000000005</v>
      </c>
      <c r="DJ158" s="43">
        <f>+DH158-DF158+16.01</f>
        <v>0</v>
      </c>
      <c r="DK158" s="43"/>
      <c r="DL158" s="43"/>
      <c r="DM158" s="43">
        <f t="shared" si="385"/>
        <v>943.7</v>
      </c>
      <c r="DN158" s="43">
        <f t="shared" si="385"/>
        <v>219.5</v>
      </c>
      <c r="DO158" s="94">
        <v>918.45</v>
      </c>
      <c r="DP158" s="95">
        <v>182.11</v>
      </c>
      <c r="DQ158" s="60">
        <f t="shared" si="386"/>
        <v>25.25</v>
      </c>
      <c r="DR158" s="60">
        <f t="shared" si="386"/>
        <v>37.39</v>
      </c>
      <c r="DS158" s="60">
        <f t="shared" si="387"/>
        <v>91.844999999999999</v>
      </c>
      <c r="DT158" s="60">
        <f t="shared" si="387"/>
        <v>18.211000000000002</v>
      </c>
      <c r="DU158" s="60">
        <f t="shared" si="388"/>
        <v>66.594999999999999</v>
      </c>
      <c r="DV158" s="60">
        <f t="shared" si="388"/>
        <v>-19.178999999999998</v>
      </c>
      <c r="DW158" s="60"/>
      <c r="DX158" s="60"/>
      <c r="DY158" s="60">
        <f t="shared" si="389"/>
        <v>66.599999999999994</v>
      </c>
      <c r="DZ158" s="60">
        <v>0</v>
      </c>
      <c r="EA158" s="60">
        <v>6</v>
      </c>
      <c r="EB158" s="60"/>
      <c r="EC158" s="43">
        <f t="shared" si="390"/>
        <v>1016.3000000000001</v>
      </c>
      <c r="ED158" s="43">
        <f t="shared" si="390"/>
        <v>219.5</v>
      </c>
      <c r="EE158" s="43">
        <v>1014.68</v>
      </c>
      <c r="EF158" s="43">
        <v>184.95</v>
      </c>
      <c r="EG158" s="43">
        <f t="shared" si="423"/>
        <v>99.84</v>
      </c>
      <c r="EH158" s="43">
        <f t="shared" si="423"/>
        <v>84.26</v>
      </c>
      <c r="EI158" s="43">
        <f t="shared" si="391"/>
        <v>1.62</v>
      </c>
      <c r="EJ158" s="43">
        <f t="shared" si="391"/>
        <v>34.549999999999997</v>
      </c>
      <c r="EK158" s="43">
        <f t="shared" si="392"/>
        <v>92.24</v>
      </c>
      <c r="EL158" s="43">
        <f t="shared" si="392"/>
        <v>16.809999999999999</v>
      </c>
      <c r="EM158" s="43">
        <f t="shared" si="393"/>
        <v>90.61999999999999</v>
      </c>
      <c r="EN158" s="43">
        <f t="shared" si="393"/>
        <v>-17.739999999999998</v>
      </c>
      <c r="EO158" s="43">
        <v>100</v>
      </c>
      <c r="EP158" s="43">
        <v>0</v>
      </c>
      <c r="EQ158" s="5"/>
      <c r="ER158" s="5"/>
      <c r="ES158" s="5"/>
      <c r="ET158" s="5"/>
      <c r="EU158" s="5">
        <f t="shared" si="270"/>
        <v>83.699999999999932</v>
      </c>
      <c r="EV158" s="5">
        <f t="shared" si="270"/>
        <v>-39.5</v>
      </c>
      <c r="EW158" s="5">
        <v>1200</v>
      </c>
      <c r="EX158" s="58">
        <v>180</v>
      </c>
      <c r="EY158" s="5">
        <v>1280</v>
      </c>
      <c r="EZ158" s="5">
        <v>250</v>
      </c>
    </row>
    <row r="159" spans="1:159" ht="37.5" x14ac:dyDescent="0.25">
      <c r="A159" s="37">
        <v>20</v>
      </c>
      <c r="B159" s="37"/>
      <c r="C159" s="91" t="s">
        <v>218</v>
      </c>
      <c r="D159" s="38" t="s">
        <v>356</v>
      </c>
      <c r="E159" s="39"/>
      <c r="F159" s="40">
        <v>0</v>
      </c>
      <c r="G159" s="40">
        <v>0</v>
      </c>
      <c r="H159" s="40">
        <v>0</v>
      </c>
      <c r="I159" s="40">
        <v>0</v>
      </c>
      <c r="J159" s="41">
        <v>0</v>
      </c>
      <c r="K159" s="41">
        <v>0</v>
      </c>
      <c r="L159" s="41">
        <v>0</v>
      </c>
      <c r="M159" s="41">
        <f t="shared" si="432"/>
        <v>0</v>
      </c>
      <c r="N159" s="41">
        <v>0</v>
      </c>
      <c r="O159" s="41">
        <v>0</v>
      </c>
      <c r="P159" s="41">
        <v>0</v>
      </c>
      <c r="Q159" s="41">
        <f t="shared" si="433"/>
        <v>0</v>
      </c>
      <c r="R159" s="41">
        <f t="shared" si="434"/>
        <v>0</v>
      </c>
      <c r="S159" s="41">
        <v>0</v>
      </c>
      <c r="T159" s="92"/>
      <c r="U159" s="92"/>
      <c r="V159" s="40">
        <f t="shared" si="428"/>
        <v>0</v>
      </c>
      <c r="W159" s="40">
        <f t="shared" si="429"/>
        <v>0</v>
      </c>
      <c r="X159" s="43">
        <f t="shared" si="352"/>
        <v>0</v>
      </c>
      <c r="Y159" s="43">
        <f t="shared" si="352"/>
        <v>0</v>
      </c>
      <c r="Z159" s="43">
        <v>0</v>
      </c>
      <c r="AA159" s="43"/>
      <c r="AB159" s="43">
        <f t="shared" si="360"/>
        <v>0</v>
      </c>
      <c r="AC159" s="43">
        <f t="shared" si="361"/>
        <v>0</v>
      </c>
      <c r="AD159" s="43">
        <f t="shared" si="430"/>
        <v>0</v>
      </c>
      <c r="AE159" s="43">
        <f t="shared" si="430"/>
        <v>0</v>
      </c>
      <c r="AF159" s="43">
        <f t="shared" si="373"/>
        <v>0</v>
      </c>
      <c r="AG159" s="43">
        <f t="shared" si="353"/>
        <v>0</v>
      </c>
      <c r="AH159" s="43">
        <f t="shared" si="353"/>
        <v>0</v>
      </c>
      <c r="AI159" s="93">
        <f t="shared" si="354"/>
        <v>0</v>
      </c>
      <c r="AJ159" s="43">
        <f t="shared" si="354"/>
        <v>0</v>
      </c>
      <c r="AK159" s="43"/>
      <c r="AL159" s="43"/>
      <c r="AM159" s="43">
        <f t="shared" si="374"/>
        <v>0</v>
      </c>
      <c r="AN159" s="43">
        <f t="shared" si="375"/>
        <v>0</v>
      </c>
      <c r="AO159" s="43"/>
      <c r="AP159" s="43"/>
      <c r="AQ159" s="43">
        <f t="shared" si="355"/>
        <v>0</v>
      </c>
      <c r="AR159" s="43">
        <f t="shared" si="355"/>
        <v>0</v>
      </c>
      <c r="AS159" s="43"/>
      <c r="AT159" s="43"/>
      <c r="AU159" s="43">
        <f t="shared" si="424"/>
        <v>0</v>
      </c>
      <c r="AV159" s="43">
        <f>ROUND(AE159*25%,2)</f>
        <v>0</v>
      </c>
      <c r="AW159" s="43"/>
      <c r="AX159" s="43"/>
      <c r="AY159" s="43">
        <f t="shared" si="349"/>
        <v>0</v>
      </c>
      <c r="AZ159" s="43">
        <f t="shared" si="349"/>
        <v>0</v>
      </c>
      <c r="BA159" s="43">
        <f t="shared" si="356"/>
        <v>0</v>
      </c>
      <c r="BB159" s="60">
        <v>0</v>
      </c>
      <c r="BC159" s="60"/>
      <c r="BD159" s="60">
        <f t="shared" si="350"/>
        <v>0</v>
      </c>
      <c r="BE159" s="60">
        <f t="shared" si="350"/>
        <v>0</v>
      </c>
      <c r="BF159" s="60">
        <f t="shared" si="351"/>
        <v>0</v>
      </c>
      <c r="BG159" s="60">
        <f t="shared" si="351"/>
        <v>0</v>
      </c>
      <c r="BH159" s="43">
        <v>0</v>
      </c>
      <c r="BI159" s="43">
        <v>0</v>
      </c>
      <c r="BJ159" s="43"/>
      <c r="BK159" s="43"/>
      <c r="BL159" s="43">
        <f t="shared" si="358"/>
        <v>0</v>
      </c>
      <c r="BM159" s="43">
        <f t="shared" si="358"/>
        <v>0</v>
      </c>
      <c r="BN159" s="43">
        <f t="shared" si="376"/>
        <v>0</v>
      </c>
      <c r="BO159" s="43">
        <v>0</v>
      </c>
      <c r="BP159" s="93"/>
      <c r="BQ159" s="43">
        <f t="shared" si="377"/>
        <v>0</v>
      </c>
      <c r="BR159" s="43">
        <f t="shared" si="377"/>
        <v>0</v>
      </c>
      <c r="BS159" s="43">
        <f t="shared" si="378"/>
        <v>0</v>
      </c>
      <c r="BT159" s="43">
        <f t="shared" si="378"/>
        <v>0</v>
      </c>
      <c r="BU159" s="43">
        <f t="shared" si="421"/>
        <v>0</v>
      </c>
      <c r="BV159" s="43">
        <v>0</v>
      </c>
      <c r="BW159" s="43"/>
      <c r="BX159" s="43"/>
      <c r="BY159" s="43"/>
      <c r="BZ159" s="43"/>
      <c r="CA159" s="43">
        <v>0</v>
      </c>
      <c r="CB159" s="43">
        <v>0</v>
      </c>
      <c r="CC159" s="92">
        <v>0</v>
      </c>
      <c r="CD159" s="92">
        <v>0</v>
      </c>
      <c r="CE159" s="92">
        <v>0</v>
      </c>
      <c r="CF159" s="92">
        <v>0</v>
      </c>
      <c r="CG159" s="92">
        <f t="shared" si="379"/>
        <v>0</v>
      </c>
      <c r="CH159" s="92">
        <f t="shared" si="379"/>
        <v>0</v>
      </c>
      <c r="CI159" s="43"/>
      <c r="CJ159" s="43"/>
      <c r="CK159" s="43">
        <v>0</v>
      </c>
      <c r="CL159" s="43">
        <v>0</v>
      </c>
      <c r="CM159" s="43"/>
      <c r="CN159" s="43"/>
      <c r="CO159" s="43"/>
      <c r="CP159" s="43"/>
      <c r="CQ159" s="43">
        <f t="shared" si="380"/>
        <v>0</v>
      </c>
      <c r="CR159" s="43">
        <f t="shared" si="380"/>
        <v>0</v>
      </c>
      <c r="CS159" s="43">
        <f t="shared" si="381"/>
        <v>0</v>
      </c>
      <c r="CT159" s="43">
        <f t="shared" si="381"/>
        <v>0</v>
      </c>
      <c r="CU159" s="43">
        <f t="shared" si="381"/>
        <v>0</v>
      </c>
      <c r="CV159" s="43">
        <f t="shared" si="381"/>
        <v>0</v>
      </c>
      <c r="CW159" s="43">
        <f t="shared" si="382"/>
        <v>0</v>
      </c>
      <c r="CX159" s="43">
        <f t="shared" si="382"/>
        <v>0</v>
      </c>
      <c r="CY159" s="43"/>
      <c r="CZ159" s="43"/>
      <c r="DA159" s="43">
        <f t="shared" si="383"/>
        <v>0</v>
      </c>
      <c r="DB159" s="43">
        <f t="shared" si="383"/>
        <v>0</v>
      </c>
      <c r="DC159" s="43">
        <v>0</v>
      </c>
      <c r="DD159" s="43">
        <v>0</v>
      </c>
      <c r="DE159" s="43">
        <f t="shared" si="384"/>
        <v>0</v>
      </c>
      <c r="DF159" s="43">
        <f t="shared" si="384"/>
        <v>0</v>
      </c>
      <c r="DG159" s="43">
        <f t="shared" si="431"/>
        <v>0</v>
      </c>
      <c r="DH159" s="43">
        <f t="shared" si="431"/>
        <v>0</v>
      </c>
      <c r="DI159" s="43">
        <f>+DG159-DE159</f>
        <v>0</v>
      </c>
      <c r="DJ159" s="43">
        <f>+DH159-DF159</f>
        <v>0</v>
      </c>
      <c r="DK159" s="43"/>
      <c r="DL159" s="43"/>
      <c r="DM159" s="43">
        <f t="shared" si="385"/>
        <v>0</v>
      </c>
      <c r="DN159" s="43">
        <f t="shared" si="385"/>
        <v>0</v>
      </c>
      <c r="DO159" s="94">
        <v>0</v>
      </c>
      <c r="DP159" s="95">
        <v>0</v>
      </c>
      <c r="DQ159" s="60">
        <f t="shared" si="386"/>
        <v>0</v>
      </c>
      <c r="DR159" s="60">
        <f t="shared" si="386"/>
        <v>0</v>
      </c>
      <c r="DS159" s="60">
        <f t="shared" si="387"/>
        <v>0</v>
      </c>
      <c r="DT159" s="60">
        <f t="shared" si="387"/>
        <v>0</v>
      </c>
      <c r="DU159" s="60">
        <f t="shared" si="388"/>
        <v>0</v>
      </c>
      <c r="DV159" s="60">
        <f t="shared" si="388"/>
        <v>0</v>
      </c>
      <c r="DW159" s="60"/>
      <c r="DX159" s="60"/>
      <c r="DY159" s="60">
        <f t="shared" si="389"/>
        <v>0</v>
      </c>
      <c r="DZ159" s="60">
        <f t="shared" si="389"/>
        <v>0</v>
      </c>
      <c r="EA159" s="60"/>
      <c r="EB159" s="60"/>
      <c r="EC159" s="43">
        <f t="shared" si="390"/>
        <v>0</v>
      </c>
      <c r="ED159" s="43">
        <f t="shared" si="390"/>
        <v>0</v>
      </c>
      <c r="EE159" s="43">
        <v>0</v>
      </c>
      <c r="EF159" s="43">
        <v>0</v>
      </c>
      <c r="EG159" s="43" t="e">
        <f t="shared" si="423"/>
        <v>#DIV/0!</v>
      </c>
      <c r="EH159" s="43" t="e">
        <f t="shared" si="423"/>
        <v>#DIV/0!</v>
      </c>
      <c r="EI159" s="43">
        <f t="shared" si="391"/>
        <v>0</v>
      </c>
      <c r="EJ159" s="43">
        <f t="shared" si="391"/>
        <v>0</v>
      </c>
      <c r="EK159" s="43">
        <f t="shared" si="392"/>
        <v>0</v>
      </c>
      <c r="EL159" s="43">
        <f t="shared" si="392"/>
        <v>0</v>
      </c>
      <c r="EM159" s="43">
        <f t="shared" si="393"/>
        <v>0</v>
      </c>
      <c r="EN159" s="43">
        <f t="shared" si="393"/>
        <v>0</v>
      </c>
      <c r="EO159" s="43">
        <v>0</v>
      </c>
      <c r="EP159" s="43">
        <v>0</v>
      </c>
      <c r="EQ159" s="5"/>
      <c r="ER159" s="5"/>
      <c r="ES159" s="5"/>
      <c r="ET159" s="5"/>
      <c r="EU159" s="5">
        <f t="shared" si="270"/>
        <v>0</v>
      </c>
      <c r="EV159" s="5">
        <f t="shared" si="270"/>
        <v>0</v>
      </c>
    </row>
    <row r="160" spans="1:159" ht="18.75" x14ac:dyDescent="0.25">
      <c r="A160" s="68"/>
      <c r="B160" s="68" t="s">
        <v>357</v>
      </c>
      <c r="C160" s="91" t="s">
        <v>218</v>
      </c>
      <c r="D160" s="67" t="s">
        <v>355</v>
      </c>
      <c r="E160" s="69" t="s">
        <v>358</v>
      </c>
      <c r="F160" s="70">
        <v>1077.29</v>
      </c>
      <c r="G160" s="70">
        <v>529.36</v>
      </c>
      <c r="H160" s="70">
        <v>1077.29</v>
      </c>
      <c r="I160" s="70">
        <v>529.36</v>
      </c>
      <c r="J160" s="71">
        <f t="shared" ref="J160:AA160" si="435">+J159+J158</f>
        <v>1103</v>
      </c>
      <c r="K160" s="71">
        <f t="shared" si="435"/>
        <v>0</v>
      </c>
      <c r="L160" s="71">
        <f t="shared" si="435"/>
        <v>0</v>
      </c>
      <c r="M160" s="71">
        <f t="shared" si="435"/>
        <v>1103</v>
      </c>
      <c r="N160" s="71">
        <f t="shared" si="435"/>
        <v>0</v>
      </c>
      <c r="O160" s="71">
        <f t="shared" si="435"/>
        <v>0</v>
      </c>
      <c r="P160" s="71">
        <f t="shared" si="435"/>
        <v>0</v>
      </c>
      <c r="Q160" s="71">
        <f t="shared" si="435"/>
        <v>0</v>
      </c>
      <c r="R160" s="71">
        <f t="shared" si="435"/>
        <v>1103</v>
      </c>
      <c r="S160" s="71">
        <f t="shared" si="435"/>
        <v>300</v>
      </c>
      <c r="T160" s="71">
        <f t="shared" si="435"/>
        <v>0</v>
      </c>
      <c r="U160" s="71">
        <f t="shared" si="435"/>
        <v>0</v>
      </c>
      <c r="V160" s="71">
        <f t="shared" si="435"/>
        <v>1140.0999999999999</v>
      </c>
      <c r="W160" s="71">
        <f t="shared" si="435"/>
        <v>546.66999999999996</v>
      </c>
      <c r="X160" s="71">
        <f t="shared" si="435"/>
        <v>-37.099999999999909</v>
      </c>
      <c r="Y160" s="71">
        <f t="shared" si="435"/>
        <v>-246.66999999999996</v>
      </c>
      <c r="Z160" s="71">
        <f t="shared" si="435"/>
        <v>1103</v>
      </c>
      <c r="AA160" s="71">
        <f t="shared" si="435"/>
        <v>0</v>
      </c>
      <c r="AB160" s="70">
        <f t="shared" si="360"/>
        <v>1103</v>
      </c>
      <c r="AC160" s="43">
        <f t="shared" si="361"/>
        <v>0</v>
      </c>
      <c r="AD160" s="70">
        <f t="shared" ref="AD160:CP160" si="436">+AD159+AD158</f>
        <v>1103</v>
      </c>
      <c r="AE160" s="70">
        <f t="shared" si="436"/>
        <v>300</v>
      </c>
      <c r="AF160" s="70">
        <f t="shared" si="436"/>
        <v>270.66000000000003</v>
      </c>
      <c r="AG160" s="70">
        <f t="shared" si="436"/>
        <v>276</v>
      </c>
      <c r="AH160" s="70">
        <f t="shared" si="436"/>
        <v>75</v>
      </c>
      <c r="AI160" s="96">
        <f t="shared" si="436"/>
        <v>92</v>
      </c>
      <c r="AJ160" s="70">
        <f t="shared" si="436"/>
        <v>25</v>
      </c>
      <c r="AK160" s="70">
        <f t="shared" si="436"/>
        <v>0</v>
      </c>
      <c r="AL160" s="70">
        <f t="shared" si="436"/>
        <v>0</v>
      </c>
      <c r="AM160" s="70">
        <f t="shared" si="436"/>
        <v>275.75</v>
      </c>
      <c r="AN160" s="70">
        <f t="shared" si="436"/>
        <v>73.05</v>
      </c>
      <c r="AO160" s="70">
        <f t="shared" si="436"/>
        <v>0</v>
      </c>
      <c r="AP160" s="70">
        <f t="shared" si="436"/>
        <v>0</v>
      </c>
      <c r="AQ160" s="70">
        <f t="shared" si="436"/>
        <v>551.75</v>
      </c>
      <c r="AR160" s="70">
        <f t="shared" si="436"/>
        <v>148.05000000000001</v>
      </c>
      <c r="AS160" s="70">
        <f t="shared" si="436"/>
        <v>0</v>
      </c>
      <c r="AT160" s="70">
        <f t="shared" si="436"/>
        <v>0</v>
      </c>
      <c r="AU160" s="70">
        <f t="shared" si="436"/>
        <v>275.75</v>
      </c>
      <c r="AV160" s="70">
        <f t="shared" si="436"/>
        <v>26.950000000000003</v>
      </c>
      <c r="AW160" s="70">
        <f t="shared" si="436"/>
        <v>0</v>
      </c>
      <c r="AX160" s="70">
        <f t="shared" si="436"/>
        <v>0</v>
      </c>
      <c r="AY160" s="70">
        <f t="shared" si="436"/>
        <v>919.5</v>
      </c>
      <c r="AZ160" s="70">
        <f t="shared" si="436"/>
        <v>200</v>
      </c>
      <c r="BA160" s="70">
        <f t="shared" si="436"/>
        <v>1119.5</v>
      </c>
      <c r="BB160" s="70">
        <f t="shared" si="436"/>
        <v>886.02</v>
      </c>
      <c r="BC160" s="70">
        <f t="shared" si="436"/>
        <v>188.33</v>
      </c>
      <c r="BD160" s="70">
        <f t="shared" si="436"/>
        <v>33.480000000000018</v>
      </c>
      <c r="BE160" s="70">
        <f t="shared" si="436"/>
        <v>11.669999999999987</v>
      </c>
      <c r="BF160" s="70">
        <f t="shared" si="436"/>
        <v>177.2</v>
      </c>
      <c r="BG160" s="96">
        <f t="shared" si="436"/>
        <v>37.67</v>
      </c>
      <c r="BH160" s="96">
        <f t="shared" si="436"/>
        <v>71.86</v>
      </c>
      <c r="BI160" s="96">
        <f t="shared" si="436"/>
        <v>33</v>
      </c>
      <c r="BJ160" s="96">
        <f t="shared" si="436"/>
        <v>0</v>
      </c>
      <c r="BK160" s="96">
        <f t="shared" si="436"/>
        <v>0</v>
      </c>
      <c r="BL160" s="96">
        <f t="shared" si="436"/>
        <v>991.36</v>
      </c>
      <c r="BM160" s="96">
        <f t="shared" si="436"/>
        <v>233</v>
      </c>
      <c r="BN160" s="96">
        <f t="shared" si="436"/>
        <v>1224.3600000000001</v>
      </c>
      <c r="BO160" s="96">
        <f t="shared" si="436"/>
        <v>982.74</v>
      </c>
      <c r="BP160" s="96">
        <f t="shared" si="436"/>
        <v>190.35</v>
      </c>
      <c r="BQ160" s="70">
        <f t="shared" si="436"/>
        <v>8.6200000000000045</v>
      </c>
      <c r="BR160" s="70">
        <f t="shared" si="436"/>
        <v>42.650000000000006</v>
      </c>
      <c r="BS160" s="70">
        <f t="shared" si="436"/>
        <v>89.34</v>
      </c>
      <c r="BT160" s="70">
        <f t="shared" si="436"/>
        <v>17.3</v>
      </c>
      <c r="BU160" s="70">
        <f t="shared" si="436"/>
        <v>95</v>
      </c>
      <c r="BV160" s="70">
        <f t="shared" si="436"/>
        <v>15</v>
      </c>
      <c r="BW160" s="70">
        <f t="shared" si="436"/>
        <v>0</v>
      </c>
      <c r="BX160" s="70">
        <f t="shared" si="436"/>
        <v>42</v>
      </c>
      <c r="BY160" s="70">
        <f t="shared" si="436"/>
        <v>0</v>
      </c>
      <c r="BZ160" s="70">
        <f t="shared" si="436"/>
        <v>0</v>
      </c>
      <c r="CA160" s="70">
        <f t="shared" si="436"/>
        <v>1086.3600000000001</v>
      </c>
      <c r="CB160" s="70">
        <f t="shared" si="436"/>
        <v>290</v>
      </c>
      <c r="CC160" s="70">
        <f t="shared" si="436"/>
        <v>1195</v>
      </c>
      <c r="CD160" s="70">
        <f t="shared" si="436"/>
        <v>333.5</v>
      </c>
      <c r="CE160" s="70">
        <f t="shared" si="436"/>
        <v>100</v>
      </c>
      <c r="CF160" s="70">
        <f t="shared" si="436"/>
        <v>28</v>
      </c>
      <c r="CG160" s="70">
        <f t="shared" si="436"/>
        <v>271.58999999999997</v>
      </c>
      <c r="CH160" s="96">
        <f t="shared" si="436"/>
        <v>72.5</v>
      </c>
      <c r="CI160" s="70">
        <f t="shared" si="436"/>
        <v>0</v>
      </c>
      <c r="CJ160" s="70">
        <f t="shared" si="436"/>
        <v>0</v>
      </c>
      <c r="CK160" s="70">
        <f t="shared" si="436"/>
        <v>300</v>
      </c>
      <c r="CL160" s="70">
        <f t="shared" si="436"/>
        <v>85</v>
      </c>
      <c r="CM160" s="70">
        <f t="shared" si="436"/>
        <v>0</v>
      </c>
      <c r="CN160" s="70">
        <f t="shared" si="436"/>
        <v>50</v>
      </c>
      <c r="CO160" s="70">
        <f t="shared" si="436"/>
        <v>1200</v>
      </c>
      <c r="CP160" s="70">
        <f t="shared" si="436"/>
        <v>250</v>
      </c>
      <c r="CQ160" s="70">
        <f t="shared" ref="CQ160:FC160" si="437">+CQ159+CQ158</f>
        <v>1200</v>
      </c>
      <c r="CR160" s="70">
        <f t="shared" si="437"/>
        <v>340</v>
      </c>
      <c r="CS160" s="70">
        <f t="shared" si="437"/>
        <v>1200</v>
      </c>
      <c r="CT160" s="70">
        <f t="shared" si="437"/>
        <v>250</v>
      </c>
      <c r="CU160" s="70">
        <f t="shared" si="437"/>
        <v>1200</v>
      </c>
      <c r="CV160" s="70">
        <f t="shared" si="437"/>
        <v>250</v>
      </c>
      <c r="CW160" s="70">
        <f t="shared" si="437"/>
        <v>300</v>
      </c>
      <c r="CX160" s="70">
        <f t="shared" si="437"/>
        <v>56.5</v>
      </c>
      <c r="CY160" s="70">
        <f t="shared" si="437"/>
        <v>0</v>
      </c>
      <c r="CZ160" s="70">
        <f t="shared" si="437"/>
        <v>0</v>
      </c>
      <c r="DA160" s="70">
        <f t="shared" si="437"/>
        <v>700</v>
      </c>
      <c r="DB160" s="70">
        <f t="shared" si="437"/>
        <v>219.5</v>
      </c>
      <c r="DC160" s="70">
        <f t="shared" si="437"/>
        <v>643.70000000000005</v>
      </c>
      <c r="DD160" s="70">
        <f t="shared" si="437"/>
        <v>158.49</v>
      </c>
      <c r="DE160" s="70">
        <f t="shared" si="437"/>
        <v>56.299999999999955</v>
      </c>
      <c r="DF160" s="70">
        <f t="shared" si="437"/>
        <v>61.009999999999991</v>
      </c>
      <c r="DG160" s="70">
        <f t="shared" si="437"/>
        <v>300</v>
      </c>
      <c r="DH160" s="70">
        <f t="shared" si="437"/>
        <v>45</v>
      </c>
      <c r="DI160" s="70">
        <f t="shared" si="437"/>
        <v>243.70000000000005</v>
      </c>
      <c r="DJ160" s="70">
        <f t="shared" si="437"/>
        <v>0</v>
      </c>
      <c r="DK160" s="70">
        <f t="shared" si="437"/>
        <v>0</v>
      </c>
      <c r="DL160" s="70">
        <f t="shared" si="437"/>
        <v>0</v>
      </c>
      <c r="DM160" s="70">
        <f t="shared" si="437"/>
        <v>943.7</v>
      </c>
      <c r="DN160" s="70">
        <f t="shared" si="437"/>
        <v>219.5</v>
      </c>
      <c r="DO160" s="70">
        <f t="shared" si="437"/>
        <v>918.45</v>
      </c>
      <c r="DP160" s="70">
        <f t="shared" si="437"/>
        <v>182.11</v>
      </c>
      <c r="DQ160" s="70">
        <f t="shared" si="437"/>
        <v>25.25</v>
      </c>
      <c r="DR160" s="70">
        <f t="shared" si="437"/>
        <v>37.39</v>
      </c>
      <c r="DS160" s="70">
        <f t="shared" si="437"/>
        <v>91.844999999999999</v>
      </c>
      <c r="DT160" s="70">
        <f t="shared" si="437"/>
        <v>18.211000000000002</v>
      </c>
      <c r="DU160" s="70">
        <f t="shared" si="437"/>
        <v>66.594999999999999</v>
      </c>
      <c r="DV160" s="70">
        <f t="shared" si="437"/>
        <v>-19.178999999999998</v>
      </c>
      <c r="DW160" s="70">
        <f t="shared" si="437"/>
        <v>0</v>
      </c>
      <c r="DX160" s="70">
        <f t="shared" si="437"/>
        <v>0</v>
      </c>
      <c r="DY160" s="70">
        <f t="shared" si="437"/>
        <v>66.599999999999994</v>
      </c>
      <c r="DZ160" s="70">
        <f t="shared" si="437"/>
        <v>0</v>
      </c>
      <c r="EA160" s="70">
        <f t="shared" si="437"/>
        <v>6</v>
      </c>
      <c r="EB160" s="96">
        <f t="shared" si="437"/>
        <v>0</v>
      </c>
      <c r="EC160" s="70">
        <f t="shared" si="437"/>
        <v>1016.3000000000001</v>
      </c>
      <c r="ED160" s="70">
        <f t="shared" si="437"/>
        <v>219.5</v>
      </c>
      <c r="EE160" s="70">
        <f t="shared" si="437"/>
        <v>1014.68</v>
      </c>
      <c r="EF160" s="70">
        <f t="shared" si="437"/>
        <v>184.95</v>
      </c>
      <c r="EG160" s="70" t="e">
        <f t="shared" si="437"/>
        <v>#DIV/0!</v>
      </c>
      <c r="EH160" s="70" t="e">
        <f t="shared" si="437"/>
        <v>#DIV/0!</v>
      </c>
      <c r="EI160" s="70">
        <f t="shared" si="437"/>
        <v>1.62</v>
      </c>
      <c r="EJ160" s="70">
        <f t="shared" si="437"/>
        <v>34.549999999999997</v>
      </c>
      <c r="EK160" s="70">
        <f t="shared" si="437"/>
        <v>92.24</v>
      </c>
      <c r="EL160" s="70">
        <f t="shared" si="437"/>
        <v>16.809999999999999</v>
      </c>
      <c r="EM160" s="70">
        <f t="shared" si="437"/>
        <v>90.61999999999999</v>
      </c>
      <c r="EN160" s="70">
        <f t="shared" si="437"/>
        <v>-17.739999999999998</v>
      </c>
      <c r="EO160" s="70">
        <f t="shared" si="437"/>
        <v>100</v>
      </c>
      <c r="EP160" s="70">
        <f t="shared" si="437"/>
        <v>0</v>
      </c>
      <c r="EQ160" s="66">
        <f t="shared" si="437"/>
        <v>0</v>
      </c>
      <c r="ER160" s="5"/>
      <c r="ES160" s="46">
        <f t="shared" si="437"/>
        <v>0</v>
      </c>
      <c r="ET160" s="66"/>
      <c r="EU160" s="5">
        <f t="shared" si="270"/>
        <v>83.699999999999932</v>
      </c>
      <c r="EV160" s="5">
        <f t="shared" si="270"/>
        <v>-39.5</v>
      </c>
      <c r="EW160" s="46">
        <f t="shared" si="437"/>
        <v>1200</v>
      </c>
      <c r="EX160" s="46">
        <f t="shared" si="437"/>
        <v>180</v>
      </c>
      <c r="EY160" s="46">
        <f t="shared" si="437"/>
        <v>1280</v>
      </c>
      <c r="EZ160" s="46">
        <f t="shared" si="437"/>
        <v>250</v>
      </c>
      <c r="FA160" s="46">
        <f t="shared" si="437"/>
        <v>0</v>
      </c>
      <c r="FB160" s="46">
        <f t="shared" si="437"/>
        <v>0</v>
      </c>
      <c r="FC160" s="46">
        <f t="shared" si="437"/>
        <v>0</v>
      </c>
    </row>
    <row r="161" spans="1:160" ht="18.75" x14ac:dyDescent="0.25">
      <c r="A161" s="68">
        <v>21</v>
      </c>
      <c r="B161" s="68" t="s">
        <v>359</v>
      </c>
      <c r="C161" s="91" t="s">
        <v>218</v>
      </c>
      <c r="D161" s="67" t="s">
        <v>360</v>
      </c>
      <c r="E161" s="69" t="s">
        <v>361</v>
      </c>
      <c r="F161" s="40">
        <v>8555.3900000000012</v>
      </c>
      <c r="G161" s="40">
        <v>9848.73</v>
      </c>
      <c r="H161" s="40">
        <v>8555.3900000000012</v>
      </c>
      <c r="I161" s="70">
        <v>9848.73</v>
      </c>
      <c r="J161" s="71">
        <v>9695</v>
      </c>
      <c r="K161" s="71">
        <v>0</v>
      </c>
      <c r="L161" s="71">
        <v>0</v>
      </c>
      <c r="M161" s="71">
        <f>+L161+K161+J161</f>
        <v>9695</v>
      </c>
      <c r="N161" s="71">
        <v>0</v>
      </c>
      <c r="O161" s="71">
        <v>0</v>
      </c>
      <c r="P161" s="71">
        <v>0</v>
      </c>
      <c r="Q161" s="71">
        <f>+P161+O161+N161</f>
        <v>0</v>
      </c>
      <c r="R161" s="71">
        <f>+Q161+M161</f>
        <v>9695</v>
      </c>
      <c r="S161" s="71">
        <v>12880</v>
      </c>
      <c r="T161" s="92"/>
      <c r="U161" s="92"/>
      <c r="V161" s="70">
        <f t="shared" ref="V161:V163" si="438">ROUND(H161*1.0583,2)</f>
        <v>9054.17</v>
      </c>
      <c r="W161" s="70">
        <f t="shared" ref="W161:W163" si="439">ROUND(I161*1.0327,2)</f>
        <v>10170.780000000001</v>
      </c>
      <c r="X161" s="70">
        <f t="shared" si="352"/>
        <v>640.82999999999993</v>
      </c>
      <c r="Y161" s="70">
        <f t="shared" si="352"/>
        <v>2709.2199999999993</v>
      </c>
      <c r="Z161" s="70">
        <v>9054.17</v>
      </c>
      <c r="AA161" s="70"/>
      <c r="AB161" s="70">
        <f t="shared" si="360"/>
        <v>9054.17</v>
      </c>
      <c r="AC161" s="43">
        <f t="shared" si="361"/>
        <v>0</v>
      </c>
      <c r="AD161" s="70">
        <f t="shared" ref="AD161:AE163" si="440">IF(X161&gt;0,V161,R161)</f>
        <v>9054.17</v>
      </c>
      <c r="AE161" s="70">
        <f t="shared" si="440"/>
        <v>10170.780000000001</v>
      </c>
      <c r="AF161" s="70">
        <f t="shared" si="373"/>
        <v>11620.34</v>
      </c>
      <c r="AG161" s="43">
        <f t="shared" si="353"/>
        <v>2264</v>
      </c>
      <c r="AH161" s="43">
        <f t="shared" si="353"/>
        <v>2543</v>
      </c>
      <c r="AI161" s="93">
        <f t="shared" si="354"/>
        <v>755</v>
      </c>
      <c r="AJ161" s="43">
        <f t="shared" si="354"/>
        <v>848</v>
      </c>
      <c r="AK161" s="43"/>
      <c r="AL161" s="43"/>
      <c r="AM161" s="43">
        <f t="shared" si="374"/>
        <v>2263.54</v>
      </c>
      <c r="AN161" s="43">
        <f>ROUND(AE161*24.35%,2)-20</f>
        <v>2456.58</v>
      </c>
      <c r="AO161" s="43"/>
      <c r="AP161" s="43"/>
      <c r="AQ161" s="43">
        <f t="shared" si="355"/>
        <v>4527.54</v>
      </c>
      <c r="AR161" s="43">
        <f t="shared" si="355"/>
        <v>4999.58</v>
      </c>
      <c r="AS161" s="43"/>
      <c r="AT161" s="43"/>
      <c r="AU161" s="43">
        <f t="shared" si="424"/>
        <v>2263.54</v>
      </c>
      <c r="AV161" s="43">
        <f t="shared" si="424"/>
        <v>2542.6999999999998</v>
      </c>
      <c r="AW161" s="43"/>
      <c r="AX161" s="43"/>
      <c r="AY161" s="43">
        <f t="shared" si="349"/>
        <v>7546.08</v>
      </c>
      <c r="AZ161" s="43">
        <f t="shared" si="349"/>
        <v>8390.2799999999988</v>
      </c>
      <c r="BA161" s="43">
        <f t="shared" si="356"/>
        <v>15936.359999999999</v>
      </c>
      <c r="BB161" s="60">
        <v>7153.57</v>
      </c>
      <c r="BC161" s="60">
        <v>8141.98</v>
      </c>
      <c r="BD161" s="60">
        <f t="shared" si="350"/>
        <v>392.51000000000022</v>
      </c>
      <c r="BE161" s="60">
        <f t="shared" si="350"/>
        <v>248.29999999999927</v>
      </c>
      <c r="BF161" s="60">
        <f t="shared" si="351"/>
        <v>1430.71</v>
      </c>
      <c r="BG161" s="60">
        <f t="shared" si="351"/>
        <v>1628.4</v>
      </c>
      <c r="BH161" s="43">
        <v>549.96</v>
      </c>
      <c r="BI161" s="43">
        <v>650</v>
      </c>
      <c r="BJ161" s="43"/>
      <c r="BK161" s="43">
        <v>200</v>
      </c>
      <c r="BL161" s="43">
        <f t="shared" si="358"/>
        <v>8096.04</v>
      </c>
      <c r="BM161" s="43">
        <f t="shared" si="358"/>
        <v>9240.2799999999988</v>
      </c>
      <c r="BN161" s="43">
        <f t="shared" si="376"/>
        <v>17336.32</v>
      </c>
      <c r="BO161" s="43">
        <v>8010.2</v>
      </c>
      <c r="BP161" s="93">
        <v>8915.08</v>
      </c>
      <c r="BQ161" s="43">
        <f t="shared" si="377"/>
        <v>85.840000000000146</v>
      </c>
      <c r="BR161" s="43">
        <f t="shared" si="377"/>
        <v>325.19999999999891</v>
      </c>
      <c r="BS161" s="43">
        <f t="shared" si="378"/>
        <v>728.2</v>
      </c>
      <c r="BT161" s="43">
        <f t="shared" si="378"/>
        <v>810.46</v>
      </c>
      <c r="BU161" s="43">
        <f t="shared" si="421"/>
        <v>642.3599999999999</v>
      </c>
      <c r="BV161" s="43">
        <v>450</v>
      </c>
      <c r="BW161" s="43">
        <v>315.77</v>
      </c>
      <c r="BX161" s="43">
        <v>250</v>
      </c>
      <c r="BY161" s="43"/>
      <c r="BZ161" s="43"/>
      <c r="CA161" s="43">
        <v>9054.17</v>
      </c>
      <c r="CB161" s="43">
        <v>9940.2799999999988</v>
      </c>
      <c r="CC161" s="92">
        <v>9959.59</v>
      </c>
      <c r="CD161" s="92">
        <v>11431.32</v>
      </c>
      <c r="CE161" s="92">
        <v>830</v>
      </c>
      <c r="CF161" s="92">
        <v>953</v>
      </c>
      <c r="CG161" s="92">
        <f t="shared" si="379"/>
        <v>2263.54</v>
      </c>
      <c r="CH161" s="92">
        <f t="shared" si="379"/>
        <v>2485.0700000000002</v>
      </c>
      <c r="CI161" s="43"/>
      <c r="CJ161" s="43"/>
      <c r="CK161" s="43">
        <v>2200</v>
      </c>
      <c r="CL161" s="72">
        <f>3000-400</f>
        <v>2600</v>
      </c>
      <c r="CM161" s="72">
        <v>400</v>
      </c>
      <c r="CN161" s="72">
        <v>300</v>
      </c>
      <c r="CO161" s="43">
        <v>9959.5</v>
      </c>
      <c r="CP161" s="43">
        <v>11230</v>
      </c>
      <c r="CQ161" s="43">
        <f t="shared" si="380"/>
        <v>8800</v>
      </c>
      <c r="CR161" s="43">
        <f t="shared" si="380"/>
        <v>10400</v>
      </c>
      <c r="CS161" s="43">
        <v>8800</v>
      </c>
      <c r="CT161" s="43">
        <v>10400</v>
      </c>
      <c r="CU161" s="43">
        <v>8800</v>
      </c>
      <c r="CV161" s="43">
        <v>10400</v>
      </c>
      <c r="CW161" s="43">
        <f t="shared" si="382"/>
        <v>2200</v>
      </c>
      <c r="CX161" s="43">
        <f t="shared" si="382"/>
        <v>2600</v>
      </c>
      <c r="CY161" s="43"/>
      <c r="CZ161" s="43">
        <v>175</v>
      </c>
      <c r="DA161" s="43">
        <f t="shared" si="383"/>
        <v>5630</v>
      </c>
      <c r="DB161" s="43">
        <f t="shared" si="383"/>
        <v>6628</v>
      </c>
      <c r="DC161" s="43">
        <v>5386.27</v>
      </c>
      <c r="DD161" s="43">
        <v>6564.04</v>
      </c>
      <c r="DE161" s="43">
        <f t="shared" si="384"/>
        <v>243.72999999999956</v>
      </c>
      <c r="DF161" s="43">
        <f t="shared" si="384"/>
        <v>63.960000000000036</v>
      </c>
      <c r="DG161" s="43">
        <f t="shared" ref="DG161:DH163" si="441">ROUND(0.25*(MIN(CU161,EW161)),2)</f>
        <v>2200</v>
      </c>
      <c r="DH161" s="43">
        <f t="shared" si="441"/>
        <v>2600</v>
      </c>
      <c r="DI161" s="43">
        <f>+DG161-DE161</f>
        <v>1956.2700000000004</v>
      </c>
      <c r="DJ161" s="43">
        <f>+DH161-DF161</f>
        <v>2536.04</v>
      </c>
      <c r="DK161" s="43">
        <v>400</v>
      </c>
      <c r="DL161" s="43">
        <f>200+100</f>
        <v>300</v>
      </c>
      <c r="DM161" s="43">
        <f t="shared" si="385"/>
        <v>7986.27</v>
      </c>
      <c r="DN161" s="43">
        <f t="shared" si="385"/>
        <v>9464.0400000000009</v>
      </c>
      <c r="DO161" s="94">
        <v>7785.9</v>
      </c>
      <c r="DP161" s="95">
        <v>9365.9500000000007</v>
      </c>
      <c r="DQ161" s="60">
        <f t="shared" si="386"/>
        <v>200.37</v>
      </c>
      <c r="DR161" s="60">
        <f t="shared" si="386"/>
        <v>98.09</v>
      </c>
      <c r="DS161" s="60">
        <f t="shared" si="387"/>
        <v>778.58999999999992</v>
      </c>
      <c r="DT161" s="60">
        <f t="shared" si="387"/>
        <v>936.59500000000003</v>
      </c>
      <c r="DU161" s="60">
        <f t="shared" si="388"/>
        <v>578.21999999999991</v>
      </c>
      <c r="DV161" s="60">
        <f t="shared" si="388"/>
        <v>838.505</v>
      </c>
      <c r="DW161" s="60"/>
      <c r="DX161" s="60">
        <v>150</v>
      </c>
      <c r="DY161" s="60">
        <f t="shared" si="389"/>
        <v>578.22</v>
      </c>
      <c r="DZ161" s="60">
        <f>ROUND(DV161+DX161,2)-150</f>
        <v>838.51</v>
      </c>
      <c r="EA161" s="60"/>
      <c r="EB161" s="60"/>
      <c r="EC161" s="43">
        <f t="shared" si="390"/>
        <v>8564.49</v>
      </c>
      <c r="ED161" s="43">
        <f t="shared" si="390"/>
        <v>10302.550000000001</v>
      </c>
      <c r="EE161" s="43">
        <v>8558.4</v>
      </c>
      <c r="EF161" s="43">
        <v>10298.049999999999</v>
      </c>
      <c r="EG161" s="43">
        <f t="shared" si="423"/>
        <v>99.93</v>
      </c>
      <c r="EH161" s="43">
        <f t="shared" si="423"/>
        <v>99.96</v>
      </c>
      <c r="EI161" s="43">
        <f t="shared" si="391"/>
        <v>6.09</v>
      </c>
      <c r="EJ161" s="43">
        <f t="shared" si="391"/>
        <v>4.5</v>
      </c>
      <c r="EK161" s="43">
        <f t="shared" si="392"/>
        <v>778.04</v>
      </c>
      <c r="EL161" s="43">
        <f t="shared" si="392"/>
        <v>936.19</v>
      </c>
      <c r="EM161" s="43">
        <f t="shared" si="393"/>
        <v>771.94999999999993</v>
      </c>
      <c r="EN161" s="43">
        <f t="shared" si="393"/>
        <v>931.69</v>
      </c>
      <c r="EO161" s="43">
        <v>775</v>
      </c>
      <c r="EP161" s="43">
        <v>700</v>
      </c>
      <c r="EQ161" s="5"/>
      <c r="ER161" s="5"/>
      <c r="ES161" s="5"/>
      <c r="ET161" s="5"/>
      <c r="EU161" s="5">
        <f t="shared" ref="EU161:EV224" si="442">+EW161-EC161-EO161</f>
        <v>260.51000000000022</v>
      </c>
      <c r="EV161" s="5">
        <f t="shared" si="442"/>
        <v>297.44999999999891</v>
      </c>
      <c r="EW161" s="5">
        <v>9600</v>
      </c>
      <c r="EX161" s="5">
        <v>11300</v>
      </c>
      <c r="EY161" s="5">
        <v>10656.45</v>
      </c>
      <c r="EZ161" s="5">
        <v>12515</v>
      </c>
    </row>
    <row r="162" spans="1:160" ht="18.75" x14ac:dyDescent="0.25">
      <c r="A162" s="37">
        <v>22</v>
      </c>
      <c r="B162" s="37"/>
      <c r="C162" s="91" t="s">
        <v>198</v>
      </c>
      <c r="D162" s="38" t="s">
        <v>362</v>
      </c>
      <c r="E162" s="39"/>
      <c r="F162" s="40">
        <v>1370.54</v>
      </c>
      <c r="G162" s="40">
        <v>43.22</v>
      </c>
      <c r="H162" s="40">
        <v>1370.54</v>
      </c>
      <c r="I162" s="40">
        <v>43.22</v>
      </c>
      <c r="J162" s="41">
        <v>1380</v>
      </c>
      <c r="K162" s="41"/>
      <c r="L162" s="41"/>
      <c r="M162" s="41">
        <f t="shared" ref="M162:M163" si="443">J162+K162+L162</f>
        <v>1380</v>
      </c>
      <c r="N162" s="41"/>
      <c r="O162" s="41"/>
      <c r="P162" s="41"/>
      <c r="Q162" s="41">
        <f t="shared" ref="Q162:Q163" si="444">N162+O162+P162</f>
        <v>0</v>
      </c>
      <c r="R162" s="41">
        <f t="shared" ref="R162:R163" si="445">+Q162+M162</f>
        <v>1380</v>
      </c>
      <c r="S162" s="41">
        <v>45</v>
      </c>
      <c r="T162" s="92"/>
      <c r="U162" s="92"/>
      <c r="V162" s="40">
        <f t="shared" si="438"/>
        <v>1450.44</v>
      </c>
      <c r="W162" s="40">
        <f t="shared" si="439"/>
        <v>44.63</v>
      </c>
      <c r="X162" s="43">
        <f t="shared" si="352"/>
        <v>-70.440000000000055</v>
      </c>
      <c r="Y162" s="43">
        <f t="shared" si="352"/>
        <v>0.36999999999999744</v>
      </c>
      <c r="Z162" s="43">
        <v>1380</v>
      </c>
      <c r="AA162" s="43"/>
      <c r="AB162" s="43">
        <f t="shared" si="360"/>
        <v>1380</v>
      </c>
      <c r="AC162" s="43">
        <f t="shared" si="361"/>
        <v>0</v>
      </c>
      <c r="AD162" s="43">
        <f t="shared" si="440"/>
        <v>1380</v>
      </c>
      <c r="AE162" s="43">
        <f t="shared" si="440"/>
        <v>44.63</v>
      </c>
      <c r="AF162" s="43">
        <f t="shared" si="373"/>
        <v>40.6</v>
      </c>
      <c r="AG162" s="43">
        <f t="shared" si="353"/>
        <v>345</v>
      </c>
      <c r="AH162" s="43">
        <f t="shared" si="353"/>
        <v>11</v>
      </c>
      <c r="AI162" s="93">
        <f t="shared" si="354"/>
        <v>115</v>
      </c>
      <c r="AJ162" s="43">
        <f t="shared" si="354"/>
        <v>4</v>
      </c>
      <c r="AK162" s="43"/>
      <c r="AL162" s="43"/>
      <c r="AM162" s="43">
        <f t="shared" si="374"/>
        <v>345</v>
      </c>
      <c r="AN162" s="43">
        <f t="shared" si="375"/>
        <v>10.87</v>
      </c>
      <c r="AO162" s="43"/>
      <c r="AP162" s="43"/>
      <c r="AQ162" s="43">
        <f t="shared" si="355"/>
        <v>690</v>
      </c>
      <c r="AR162" s="43">
        <f t="shared" si="355"/>
        <v>21.869999999999997</v>
      </c>
      <c r="AS162" s="43">
        <v>35</v>
      </c>
      <c r="AT162" s="43"/>
      <c r="AU162" s="43">
        <f t="shared" si="424"/>
        <v>345</v>
      </c>
      <c r="AV162" s="43">
        <f>ROUND(AE162*25%,2)-11.16</f>
        <v>0</v>
      </c>
      <c r="AW162" s="43">
        <v>80</v>
      </c>
      <c r="AX162" s="43"/>
      <c r="AY162" s="43">
        <f t="shared" si="349"/>
        <v>1265</v>
      </c>
      <c r="AZ162" s="43">
        <f t="shared" si="349"/>
        <v>25.869999999999997</v>
      </c>
      <c r="BA162" s="43">
        <f t="shared" si="356"/>
        <v>1290.8699999999999</v>
      </c>
      <c r="BB162" s="60">
        <v>1266.8900000000001</v>
      </c>
      <c r="BC162" s="60">
        <v>19.2</v>
      </c>
      <c r="BD162" s="60">
        <f t="shared" si="350"/>
        <v>-1.8900000000001</v>
      </c>
      <c r="BE162" s="60">
        <f t="shared" si="350"/>
        <v>6.6699999999999982</v>
      </c>
      <c r="BF162" s="60">
        <f t="shared" si="351"/>
        <v>253.38</v>
      </c>
      <c r="BG162" s="60">
        <f t="shared" si="351"/>
        <v>3.84</v>
      </c>
      <c r="BH162" s="43">
        <v>127.64</v>
      </c>
      <c r="BI162" s="43">
        <v>0</v>
      </c>
      <c r="BJ162" s="43"/>
      <c r="BK162" s="43"/>
      <c r="BL162" s="43">
        <f t="shared" si="358"/>
        <v>1392.64</v>
      </c>
      <c r="BM162" s="43">
        <f t="shared" si="358"/>
        <v>25.869999999999997</v>
      </c>
      <c r="BN162" s="43">
        <f t="shared" si="376"/>
        <v>1418.51</v>
      </c>
      <c r="BO162" s="43">
        <v>1387.77</v>
      </c>
      <c r="BP162" s="93">
        <v>20.04</v>
      </c>
      <c r="BQ162" s="43">
        <f t="shared" si="377"/>
        <v>4.8700000000001182</v>
      </c>
      <c r="BR162" s="43">
        <f t="shared" si="377"/>
        <v>5.8299999999999983</v>
      </c>
      <c r="BS162" s="43">
        <f t="shared" si="378"/>
        <v>126.16</v>
      </c>
      <c r="BT162" s="43">
        <f t="shared" si="378"/>
        <v>1.82</v>
      </c>
      <c r="BU162" s="43">
        <v>130</v>
      </c>
      <c r="BV162" s="43">
        <v>0</v>
      </c>
      <c r="BW162" s="43">
        <v>6</v>
      </c>
      <c r="BX162" s="43"/>
      <c r="BY162" s="43"/>
      <c r="BZ162" s="43"/>
      <c r="CA162" s="43">
        <v>1528.64</v>
      </c>
      <c r="CB162" s="43">
        <v>25.869999999999997</v>
      </c>
      <c r="CC162" s="92">
        <v>1681.5</v>
      </c>
      <c r="CD162" s="92">
        <v>29.75</v>
      </c>
      <c r="CE162" s="92">
        <v>140</v>
      </c>
      <c r="CF162" s="92">
        <v>2</v>
      </c>
      <c r="CG162" s="92">
        <f t="shared" si="379"/>
        <v>382.16</v>
      </c>
      <c r="CH162" s="92">
        <f t="shared" si="379"/>
        <v>6.47</v>
      </c>
      <c r="CI162" s="43"/>
      <c r="CJ162" s="43"/>
      <c r="CK162" s="43">
        <v>420</v>
      </c>
      <c r="CL162" s="43">
        <v>3</v>
      </c>
      <c r="CM162" s="43"/>
      <c r="CN162" s="43"/>
      <c r="CO162" s="43">
        <v>1750</v>
      </c>
      <c r="CP162" s="43">
        <v>30</v>
      </c>
      <c r="CQ162" s="43">
        <f t="shared" si="380"/>
        <v>1680</v>
      </c>
      <c r="CR162" s="43">
        <f t="shared" si="380"/>
        <v>12</v>
      </c>
      <c r="CS162" s="43">
        <f t="shared" si="381"/>
        <v>1680</v>
      </c>
      <c r="CT162" s="43">
        <f t="shared" si="381"/>
        <v>12</v>
      </c>
      <c r="CU162" s="43">
        <f t="shared" si="381"/>
        <v>1680</v>
      </c>
      <c r="CV162" s="43">
        <v>42</v>
      </c>
      <c r="CW162" s="43">
        <f t="shared" si="382"/>
        <v>420</v>
      </c>
      <c r="CX162" s="43">
        <v>35</v>
      </c>
      <c r="CY162" s="43"/>
      <c r="CZ162" s="43"/>
      <c r="DA162" s="43">
        <f t="shared" si="383"/>
        <v>980</v>
      </c>
      <c r="DB162" s="43">
        <f t="shared" si="383"/>
        <v>40</v>
      </c>
      <c r="DC162" s="43">
        <v>987.71</v>
      </c>
      <c r="DD162" s="43">
        <v>33.08</v>
      </c>
      <c r="DE162" s="43">
        <f t="shared" si="384"/>
        <v>-7.7100000000000364</v>
      </c>
      <c r="DF162" s="43">
        <f t="shared" si="384"/>
        <v>6.9200000000000017</v>
      </c>
      <c r="DG162" s="43">
        <f t="shared" si="441"/>
        <v>420</v>
      </c>
      <c r="DH162" s="43">
        <f t="shared" si="441"/>
        <v>10.5</v>
      </c>
      <c r="DI162" s="43">
        <f>+DG162-DE162</f>
        <v>427.71000000000004</v>
      </c>
      <c r="DJ162" s="43">
        <f>+DH162-DF162-2-1.58</f>
        <v>-1.7763568394002505E-15</v>
      </c>
      <c r="DK162" s="43">
        <v>40</v>
      </c>
      <c r="DL162" s="43"/>
      <c r="DM162" s="43">
        <f t="shared" si="385"/>
        <v>1447.71</v>
      </c>
      <c r="DN162" s="43">
        <f t="shared" si="385"/>
        <v>40</v>
      </c>
      <c r="DO162" s="94">
        <v>1438.65</v>
      </c>
      <c r="DP162" s="95">
        <v>35.32</v>
      </c>
      <c r="DQ162" s="60">
        <f t="shared" si="386"/>
        <v>9.06</v>
      </c>
      <c r="DR162" s="60">
        <f t="shared" si="386"/>
        <v>4.68</v>
      </c>
      <c r="DS162" s="60">
        <f t="shared" si="387"/>
        <v>143.86500000000001</v>
      </c>
      <c r="DT162" s="60">
        <f t="shared" si="387"/>
        <v>3.532</v>
      </c>
      <c r="DU162" s="60">
        <f t="shared" si="388"/>
        <v>134.80500000000001</v>
      </c>
      <c r="DV162" s="60">
        <f t="shared" si="388"/>
        <v>-1.1479999999999997</v>
      </c>
      <c r="DW162" s="60"/>
      <c r="DX162" s="60"/>
      <c r="DY162" s="60">
        <f t="shared" si="389"/>
        <v>134.81</v>
      </c>
      <c r="DZ162" s="60">
        <v>0</v>
      </c>
      <c r="EA162" s="60"/>
      <c r="EB162" s="60"/>
      <c r="EC162" s="43">
        <f t="shared" si="390"/>
        <v>1582.52</v>
      </c>
      <c r="ED162" s="43">
        <f t="shared" si="390"/>
        <v>40</v>
      </c>
      <c r="EE162" s="43">
        <v>1590.73</v>
      </c>
      <c r="EF162" s="43">
        <v>35.69</v>
      </c>
      <c r="EG162" s="43">
        <f t="shared" si="423"/>
        <v>100.52</v>
      </c>
      <c r="EH162" s="43">
        <f t="shared" si="423"/>
        <v>89.23</v>
      </c>
      <c r="EI162" s="43">
        <f t="shared" si="391"/>
        <v>-8.2100000000000009</v>
      </c>
      <c r="EJ162" s="43">
        <f t="shared" si="391"/>
        <v>4.3099999999999996</v>
      </c>
      <c r="EK162" s="43">
        <f t="shared" si="392"/>
        <v>144.61000000000001</v>
      </c>
      <c r="EL162" s="43">
        <f t="shared" si="392"/>
        <v>3.24</v>
      </c>
      <c r="EM162" s="43">
        <f t="shared" si="393"/>
        <v>152.82000000000002</v>
      </c>
      <c r="EN162" s="43">
        <f t="shared" si="393"/>
        <v>-1.0699999999999994</v>
      </c>
      <c r="EO162" s="43">
        <v>165.4</v>
      </c>
      <c r="EP162" s="43">
        <v>0</v>
      </c>
      <c r="EQ162" s="5"/>
      <c r="ER162" s="5"/>
      <c r="ES162" s="5"/>
      <c r="ET162" s="5"/>
      <c r="EU162" s="5">
        <f t="shared" si="442"/>
        <v>-37.919999999999987</v>
      </c>
      <c r="EV162" s="5">
        <f t="shared" si="442"/>
        <v>2</v>
      </c>
      <c r="EW162" s="5">
        <v>1710</v>
      </c>
      <c r="EX162" s="5">
        <v>42</v>
      </c>
      <c r="EY162" s="5">
        <v>1750</v>
      </c>
      <c r="EZ162" s="5">
        <v>10</v>
      </c>
    </row>
    <row r="163" spans="1:160" ht="37.5" x14ac:dyDescent="0.25">
      <c r="A163" s="37">
        <v>23</v>
      </c>
      <c r="B163" s="37"/>
      <c r="C163" s="91" t="s">
        <v>198</v>
      </c>
      <c r="D163" s="38" t="s">
        <v>363</v>
      </c>
      <c r="E163" s="39"/>
      <c r="F163" s="40">
        <v>0</v>
      </c>
      <c r="G163" s="40">
        <v>0</v>
      </c>
      <c r="H163" s="40">
        <v>0</v>
      </c>
      <c r="I163" s="40">
        <v>0</v>
      </c>
      <c r="J163" s="41">
        <v>0</v>
      </c>
      <c r="K163" s="41"/>
      <c r="L163" s="41"/>
      <c r="M163" s="41">
        <f t="shared" si="443"/>
        <v>0</v>
      </c>
      <c r="N163" s="41"/>
      <c r="O163" s="41"/>
      <c r="P163" s="41"/>
      <c r="Q163" s="41">
        <f t="shared" si="444"/>
        <v>0</v>
      </c>
      <c r="R163" s="41">
        <f t="shared" si="445"/>
        <v>0</v>
      </c>
      <c r="S163" s="41">
        <v>0</v>
      </c>
      <c r="T163" s="92"/>
      <c r="U163" s="92"/>
      <c r="V163" s="40">
        <f t="shared" si="438"/>
        <v>0</v>
      </c>
      <c r="W163" s="40">
        <f t="shared" si="439"/>
        <v>0</v>
      </c>
      <c r="X163" s="43">
        <f t="shared" si="352"/>
        <v>0</v>
      </c>
      <c r="Y163" s="43">
        <f t="shared" si="352"/>
        <v>0</v>
      </c>
      <c r="Z163" s="43">
        <v>0</v>
      </c>
      <c r="AA163" s="43"/>
      <c r="AB163" s="43">
        <f t="shared" si="360"/>
        <v>0</v>
      </c>
      <c r="AC163" s="43">
        <f t="shared" si="361"/>
        <v>0</v>
      </c>
      <c r="AD163" s="43">
        <f t="shared" si="440"/>
        <v>0</v>
      </c>
      <c r="AE163" s="43">
        <f t="shared" si="440"/>
        <v>0</v>
      </c>
      <c r="AF163" s="43">
        <f t="shared" si="373"/>
        <v>0</v>
      </c>
      <c r="AG163" s="43">
        <f t="shared" si="353"/>
        <v>0</v>
      </c>
      <c r="AH163" s="43">
        <f t="shared" si="353"/>
        <v>0</v>
      </c>
      <c r="AI163" s="93">
        <f t="shared" si="354"/>
        <v>0</v>
      </c>
      <c r="AJ163" s="43">
        <f t="shared" si="354"/>
        <v>0</v>
      </c>
      <c r="AK163" s="43"/>
      <c r="AL163" s="43"/>
      <c r="AM163" s="43">
        <f t="shared" si="374"/>
        <v>0</v>
      </c>
      <c r="AN163" s="43">
        <f t="shared" si="375"/>
        <v>0</v>
      </c>
      <c r="AO163" s="43"/>
      <c r="AP163" s="43"/>
      <c r="AQ163" s="43">
        <f t="shared" si="355"/>
        <v>0</v>
      </c>
      <c r="AR163" s="43">
        <f t="shared" si="355"/>
        <v>0</v>
      </c>
      <c r="AS163" s="43"/>
      <c r="AT163" s="43"/>
      <c r="AU163" s="43">
        <f t="shared" si="424"/>
        <v>0</v>
      </c>
      <c r="AV163" s="43">
        <f t="shared" si="424"/>
        <v>0</v>
      </c>
      <c r="AW163" s="43"/>
      <c r="AX163" s="43"/>
      <c r="AY163" s="43">
        <f t="shared" si="349"/>
        <v>0</v>
      </c>
      <c r="AZ163" s="43">
        <f t="shared" si="349"/>
        <v>0</v>
      </c>
      <c r="BA163" s="43">
        <f t="shared" si="356"/>
        <v>0</v>
      </c>
      <c r="BB163" s="60">
        <v>0</v>
      </c>
      <c r="BC163" s="60"/>
      <c r="BD163" s="60">
        <f t="shared" si="350"/>
        <v>0</v>
      </c>
      <c r="BE163" s="60">
        <f t="shared" si="350"/>
        <v>0</v>
      </c>
      <c r="BF163" s="60">
        <f t="shared" si="351"/>
        <v>0</v>
      </c>
      <c r="BG163" s="60">
        <f t="shared" si="351"/>
        <v>0</v>
      </c>
      <c r="BH163" s="43">
        <v>0</v>
      </c>
      <c r="BI163" s="43">
        <v>0</v>
      </c>
      <c r="BJ163" s="43"/>
      <c r="BK163" s="43"/>
      <c r="BL163" s="43">
        <f t="shared" si="358"/>
        <v>0</v>
      </c>
      <c r="BM163" s="43">
        <f t="shared" si="358"/>
        <v>0</v>
      </c>
      <c r="BN163" s="43">
        <f t="shared" si="376"/>
        <v>0</v>
      </c>
      <c r="BO163" s="43">
        <v>0</v>
      </c>
      <c r="BP163" s="93"/>
      <c r="BQ163" s="43">
        <f t="shared" si="377"/>
        <v>0</v>
      </c>
      <c r="BR163" s="43">
        <f t="shared" si="377"/>
        <v>0</v>
      </c>
      <c r="BS163" s="43">
        <f t="shared" si="378"/>
        <v>0</v>
      </c>
      <c r="BT163" s="43">
        <f t="shared" si="378"/>
        <v>0</v>
      </c>
      <c r="BU163" s="43">
        <f t="shared" si="421"/>
        <v>0</v>
      </c>
      <c r="BV163" s="43">
        <v>0</v>
      </c>
      <c r="BW163" s="43"/>
      <c r="BX163" s="43"/>
      <c r="BY163" s="43"/>
      <c r="BZ163" s="43"/>
      <c r="CA163" s="43">
        <v>0</v>
      </c>
      <c r="CB163" s="43">
        <v>0</v>
      </c>
      <c r="CC163" s="92">
        <v>0</v>
      </c>
      <c r="CD163" s="92">
        <v>0</v>
      </c>
      <c r="CE163" s="92">
        <v>0</v>
      </c>
      <c r="CF163" s="92">
        <v>0</v>
      </c>
      <c r="CG163" s="92">
        <f t="shared" si="379"/>
        <v>0</v>
      </c>
      <c r="CH163" s="92">
        <f t="shared" si="379"/>
        <v>0</v>
      </c>
      <c r="CI163" s="43"/>
      <c r="CJ163" s="43"/>
      <c r="CK163" s="43">
        <v>0</v>
      </c>
      <c r="CL163" s="43">
        <v>0</v>
      </c>
      <c r="CM163" s="43"/>
      <c r="CN163" s="43"/>
      <c r="CO163" s="43"/>
      <c r="CP163" s="43"/>
      <c r="CQ163" s="43">
        <f t="shared" si="380"/>
        <v>0</v>
      </c>
      <c r="CR163" s="43">
        <f t="shared" si="380"/>
        <v>0</v>
      </c>
      <c r="CS163" s="43">
        <f t="shared" si="381"/>
        <v>0</v>
      </c>
      <c r="CT163" s="43">
        <f t="shared" si="381"/>
        <v>0</v>
      </c>
      <c r="CU163" s="43">
        <f t="shared" si="381"/>
        <v>0</v>
      </c>
      <c r="CV163" s="43">
        <v>0</v>
      </c>
      <c r="CW163" s="43">
        <f t="shared" si="382"/>
        <v>0</v>
      </c>
      <c r="CX163" s="43">
        <f t="shared" si="382"/>
        <v>0</v>
      </c>
      <c r="CY163" s="43"/>
      <c r="CZ163" s="43"/>
      <c r="DA163" s="43">
        <f t="shared" si="383"/>
        <v>0</v>
      </c>
      <c r="DB163" s="43">
        <f t="shared" si="383"/>
        <v>0</v>
      </c>
      <c r="DC163" s="43">
        <v>0</v>
      </c>
      <c r="DD163" s="43">
        <v>0</v>
      </c>
      <c r="DE163" s="43">
        <f t="shared" si="384"/>
        <v>0</v>
      </c>
      <c r="DF163" s="43">
        <f t="shared" si="384"/>
        <v>0</v>
      </c>
      <c r="DG163" s="43">
        <f t="shared" si="441"/>
        <v>0</v>
      </c>
      <c r="DH163" s="43">
        <f t="shared" si="441"/>
        <v>0</v>
      </c>
      <c r="DI163" s="43">
        <f>+DG163-DE163</f>
        <v>0</v>
      </c>
      <c r="DJ163" s="43">
        <f>+DH163-DF163</f>
        <v>0</v>
      </c>
      <c r="DK163" s="43"/>
      <c r="DL163" s="43"/>
      <c r="DM163" s="43">
        <f t="shared" si="385"/>
        <v>0</v>
      </c>
      <c r="DN163" s="43">
        <f t="shared" si="385"/>
        <v>0</v>
      </c>
      <c r="DO163" s="94">
        <v>0</v>
      </c>
      <c r="DP163" s="95">
        <v>0</v>
      </c>
      <c r="DQ163" s="60">
        <f t="shared" si="386"/>
        <v>0</v>
      </c>
      <c r="DR163" s="60">
        <f t="shared" si="386"/>
        <v>0</v>
      </c>
      <c r="DS163" s="60">
        <f t="shared" si="387"/>
        <v>0</v>
      </c>
      <c r="DT163" s="60">
        <f t="shared" si="387"/>
        <v>0</v>
      </c>
      <c r="DU163" s="60">
        <f t="shared" si="388"/>
        <v>0</v>
      </c>
      <c r="DV163" s="60">
        <f t="shared" si="388"/>
        <v>0</v>
      </c>
      <c r="DW163" s="60"/>
      <c r="DX163" s="60"/>
      <c r="DY163" s="60">
        <f t="shared" si="389"/>
        <v>0</v>
      </c>
      <c r="DZ163" s="60">
        <f t="shared" si="389"/>
        <v>0</v>
      </c>
      <c r="EA163" s="60"/>
      <c r="EB163" s="60"/>
      <c r="EC163" s="43">
        <f t="shared" si="390"/>
        <v>0</v>
      </c>
      <c r="ED163" s="43">
        <f t="shared" si="390"/>
        <v>0</v>
      </c>
      <c r="EE163" s="43">
        <v>0</v>
      </c>
      <c r="EF163" s="43">
        <v>0</v>
      </c>
      <c r="EG163" s="43" t="e">
        <f t="shared" si="423"/>
        <v>#DIV/0!</v>
      </c>
      <c r="EH163" s="43" t="e">
        <f t="shared" si="423"/>
        <v>#DIV/0!</v>
      </c>
      <c r="EI163" s="43">
        <f t="shared" si="391"/>
        <v>0</v>
      </c>
      <c r="EJ163" s="43">
        <f t="shared" si="391"/>
        <v>0</v>
      </c>
      <c r="EK163" s="43">
        <f t="shared" si="392"/>
        <v>0</v>
      </c>
      <c r="EL163" s="43">
        <f t="shared" si="392"/>
        <v>0</v>
      </c>
      <c r="EM163" s="43">
        <f t="shared" si="393"/>
        <v>0</v>
      </c>
      <c r="EN163" s="43">
        <f t="shared" si="393"/>
        <v>0</v>
      </c>
      <c r="EO163" s="43">
        <v>0</v>
      </c>
      <c r="EP163" s="43">
        <v>0</v>
      </c>
      <c r="EQ163" s="5"/>
      <c r="ER163" s="5"/>
      <c r="ES163" s="5"/>
      <c r="ET163" s="5"/>
      <c r="EU163" s="5">
        <f t="shared" si="442"/>
        <v>0</v>
      </c>
      <c r="EV163" s="5">
        <f t="shared" si="442"/>
        <v>0</v>
      </c>
      <c r="EW163" s="5">
        <v>0</v>
      </c>
      <c r="EX163" s="5">
        <v>0</v>
      </c>
      <c r="EY163" s="5">
        <v>0</v>
      </c>
      <c r="EZ163" s="5">
        <v>0</v>
      </c>
    </row>
    <row r="164" spans="1:160" ht="18.75" x14ac:dyDescent="0.25">
      <c r="A164" s="68"/>
      <c r="B164" s="68" t="s">
        <v>364</v>
      </c>
      <c r="C164" s="91" t="s">
        <v>198</v>
      </c>
      <c r="D164" s="67" t="s">
        <v>362</v>
      </c>
      <c r="E164" s="69" t="s">
        <v>365</v>
      </c>
      <c r="F164" s="70">
        <v>1370.54</v>
      </c>
      <c r="G164" s="70">
        <v>43.22</v>
      </c>
      <c r="H164" s="70">
        <v>1370.54</v>
      </c>
      <c r="I164" s="70">
        <v>43.22</v>
      </c>
      <c r="J164" s="71">
        <f t="shared" ref="J164:AA164" si="446">+J162+J163</f>
        <v>1380</v>
      </c>
      <c r="K164" s="71">
        <f t="shared" si="446"/>
        <v>0</v>
      </c>
      <c r="L164" s="71">
        <f t="shared" si="446"/>
        <v>0</v>
      </c>
      <c r="M164" s="71">
        <f t="shared" si="446"/>
        <v>1380</v>
      </c>
      <c r="N164" s="71">
        <f t="shared" si="446"/>
        <v>0</v>
      </c>
      <c r="O164" s="71">
        <f t="shared" si="446"/>
        <v>0</v>
      </c>
      <c r="P164" s="71">
        <f t="shared" si="446"/>
        <v>0</v>
      </c>
      <c r="Q164" s="71">
        <f t="shared" si="446"/>
        <v>0</v>
      </c>
      <c r="R164" s="71">
        <f t="shared" si="446"/>
        <v>1380</v>
      </c>
      <c r="S164" s="71">
        <f t="shared" si="446"/>
        <v>45</v>
      </c>
      <c r="T164" s="71">
        <f t="shared" si="446"/>
        <v>0</v>
      </c>
      <c r="U164" s="71">
        <f t="shared" si="446"/>
        <v>0</v>
      </c>
      <c r="V164" s="71">
        <f t="shared" si="446"/>
        <v>1450.44</v>
      </c>
      <c r="W164" s="71">
        <f t="shared" si="446"/>
        <v>44.63</v>
      </c>
      <c r="X164" s="71">
        <f t="shared" si="446"/>
        <v>-70.440000000000055</v>
      </c>
      <c r="Y164" s="71">
        <f t="shared" si="446"/>
        <v>0.36999999999999744</v>
      </c>
      <c r="Z164" s="71">
        <f t="shared" si="446"/>
        <v>1380</v>
      </c>
      <c r="AA164" s="71">
        <f t="shared" si="446"/>
        <v>0</v>
      </c>
      <c r="AB164" s="70">
        <f t="shared" si="360"/>
        <v>1380</v>
      </c>
      <c r="AC164" s="43">
        <f t="shared" si="361"/>
        <v>0</v>
      </c>
      <c r="AD164" s="70">
        <f t="shared" ref="AD164:CP164" si="447">+AD162+AD163</f>
        <v>1380</v>
      </c>
      <c r="AE164" s="70">
        <f t="shared" si="447"/>
        <v>44.63</v>
      </c>
      <c r="AF164" s="70">
        <f t="shared" si="447"/>
        <v>40.6</v>
      </c>
      <c r="AG164" s="70">
        <f t="shared" si="447"/>
        <v>345</v>
      </c>
      <c r="AH164" s="70">
        <f t="shared" si="447"/>
        <v>11</v>
      </c>
      <c r="AI164" s="96">
        <f t="shared" si="447"/>
        <v>115</v>
      </c>
      <c r="AJ164" s="70">
        <f t="shared" si="447"/>
        <v>4</v>
      </c>
      <c r="AK164" s="70">
        <f t="shared" si="447"/>
        <v>0</v>
      </c>
      <c r="AL164" s="70">
        <f t="shared" si="447"/>
        <v>0</v>
      </c>
      <c r="AM164" s="70">
        <f t="shared" si="447"/>
        <v>345</v>
      </c>
      <c r="AN164" s="70">
        <f t="shared" si="447"/>
        <v>10.87</v>
      </c>
      <c r="AO164" s="70">
        <f t="shared" si="447"/>
        <v>0</v>
      </c>
      <c r="AP164" s="70">
        <f t="shared" si="447"/>
        <v>0</v>
      </c>
      <c r="AQ164" s="70">
        <f t="shared" si="447"/>
        <v>690</v>
      </c>
      <c r="AR164" s="70">
        <f t="shared" si="447"/>
        <v>21.869999999999997</v>
      </c>
      <c r="AS164" s="70">
        <f t="shared" si="447"/>
        <v>35</v>
      </c>
      <c r="AT164" s="70">
        <f t="shared" si="447"/>
        <v>0</v>
      </c>
      <c r="AU164" s="70">
        <f t="shared" si="447"/>
        <v>345</v>
      </c>
      <c r="AV164" s="70">
        <f t="shared" si="447"/>
        <v>0</v>
      </c>
      <c r="AW164" s="70">
        <f t="shared" si="447"/>
        <v>80</v>
      </c>
      <c r="AX164" s="70">
        <f t="shared" si="447"/>
        <v>0</v>
      </c>
      <c r="AY164" s="70">
        <f t="shared" si="447"/>
        <v>1265</v>
      </c>
      <c r="AZ164" s="70">
        <f t="shared" si="447"/>
        <v>25.869999999999997</v>
      </c>
      <c r="BA164" s="70">
        <f t="shared" si="447"/>
        <v>1290.8699999999999</v>
      </c>
      <c r="BB164" s="70">
        <f t="shared" si="447"/>
        <v>1266.8900000000001</v>
      </c>
      <c r="BC164" s="70">
        <f t="shared" si="447"/>
        <v>19.2</v>
      </c>
      <c r="BD164" s="70">
        <f t="shared" si="447"/>
        <v>-1.8900000000001</v>
      </c>
      <c r="BE164" s="70">
        <f t="shared" si="447"/>
        <v>6.6699999999999982</v>
      </c>
      <c r="BF164" s="70">
        <f t="shared" si="447"/>
        <v>253.38</v>
      </c>
      <c r="BG164" s="96">
        <f t="shared" si="447"/>
        <v>3.84</v>
      </c>
      <c r="BH164" s="96">
        <f t="shared" si="447"/>
        <v>127.64</v>
      </c>
      <c r="BI164" s="96">
        <f t="shared" si="447"/>
        <v>0</v>
      </c>
      <c r="BJ164" s="96">
        <f t="shared" si="447"/>
        <v>0</v>
      </c>
      <c r="BK164" s="96">
        <f t="shared" si="447"/>
        <v>0</v>
      </c>
      <c r="BL164" s="96">
        <f t="shared" si="447"/>
        <v>1392.64</v>
      </c>
      <c r="BM164" s="96">
        <f t="shared" si="447"/>
        <v>25.869999999999997</v>
      </c>
      <c r="BN164" s="96">
        <f t="shared" si="447"/>
        <v>1418.51</v>
      </c>
      <c r="BO164" s="96">
        <f t="shared" si="447"/>
        <v>1387.77</v>
      </c>
      <c r="BP164" s="96">
        <f t="shared" si="447"/>
        <v>20.04</v>
      </c>
      <c r="BQ164" s="70">
        <f t="shared" si="447"/>
        <v>4.8700000000001182</v>
      </c>
      <c r="BR164" s="70">
        <f t="shared" si="447"/>
        <v>5.8299999999999983</v>
      </c>
      <c r="BS164" s="70">
        <f t="shared" si="447"/>
        <v>126.16</v>
      </c>
      <c r="BT164" s="70">
        <f t="shared" si="447"/>
        <v>1.82</v>
      </c>
      <c r="BU164" s="70">
        <f t="shared" si="447"/>
        <v>130</v>
      </c>
      <c r="BV164" s="70">
        <f t="shared" si="447"/>
        <v>0</v>
      </c>
      <c r="BW164" s="70">
        <f t="shared" si="447"/>
        <v>6</v>
      </c>
      <c r="BX164" s="70">
        <f t="shared" si="447"/>
        <v>0</v>
      </c>
      <c r="BY164" s="70">
        <f t="shared" si="447"/>
        <v>0</v>
      </c>
      <c r="BZ164" s="70">
        <f t="shared" si="447"/>
        <v>0</v>
      </c>
      <c r="CA164" s="70">
        <f t="shared" si="447"/>
        <v>1528.64</v>
      </c>
      <c r="CB164" s="70">
        <f t="shared" si="447"/>
        <v>25.869999999999997</v>
      </c>
      <c r="CC164" s="70">
        <f t="shared" si="447"/>
        <v>1681.5</v>
      </c>
      <c r="CD164" s="70">
        <f t="shared" si="447"/>
        <v>29.75</v>
      </c>
      <c r="CE164" s="70">
        <f t="shared" si="447"/>
        <v>140</v>
      </c>
      <c r="CF164" s="70">
        <f t="shared" si="447"/>
        <v>2</v>
      </c>
      <c r="CG164" s="70">
        <f t="shared" si="447"/>
        <v>382.16</v>
      </c>
      <c r="CH164" s="96">
        <f t="shared" si="447"/>
        <v>6.47</v>
      </c>
      <c r="CI164" s="70">
        <f t="shared" si="447"/>
        <v>0</v>
      </c>
      <c r="CJ164" s="70">
        <f t="shared" si="447"/>
        <v>0</v>
      </c>
      <c r="CK164" s="70">
        <f t="shared" si="447"/>
        <v>420</v>
      </c>
      <c r="CL164" s="70">
        <f t="shared" si="447"/>
        <v>3</v>
      </c>
      <c r="CM164" s="70">
        <f t="shared" si="447"/>
        <v>0</v>
      </c>
      <c r="CN164" s="70">
        <f t="shared" si="447"/>
        <v>0</v>
      </c>
      <c r="CO164" s="70">
        <f t="shared" si="447"/>
        <v>1750</v>
      </c>
      <c r="CP164" s="70">
        <f t="shared" si="447"/>
        <v>30</v>
      </c>
      <c r="CQ164" s="70">
        <f t="shared" ref="CQ164:FB164" si="448">+CQ162+CQ163</f>
        <v>1680</v>
      </c>
      <c r="CR164" s="70">
        <f t="shared" si="448"/>
        <v>12</v>
      </c>
      <c r="CS164" s="70">
        <f t="shared" si="448"/>
        <v>1680</v>
      </c>
      <c r="CT164" s="70">
        <f t="shared" si="448"/>
        <v>12</v>
      </c>
      <c r="CU164" s="70">
        <f t="shared" si="448"/>
        <v>1680</v>
      </c>
      <c r="CV164" s="70">
        <f t="shared" si="448"/>
        <v>42</v>
      </c>
      <c r="CW164" s="70">
        <f t="shared" si="448"/>
        <v>420</v>
      </c>
      <c r="CX164" s="70">
        <f t="shared" si="448"/>
        <v>35</v>
      </c>
      <c r="CY164" s="70">
        <f t="shared" si="448"/>
        <v>0</v>
      </c>
      <c r="CZ164" s="70">
        <f t="shared" si="448"/>
        <v>0</v>
      </c>
      <c r="DA164" s="70">
        <f t="shared" si="448"/>
        <v>980</v>
      </c>
      <c r="DB164" s="70">
        <f t="shared" si="448"/>
        <v>40</v>
      </c>
      <c r="DC164" s="70">
        <f t="shared" si="448"/>
        <v>987.71</v>
      </c>
      <c r="DD164" s="70">
        <f t="shared" si="448"/>
        <v>33.08</v>
      </c>
      <c r="DE164" s="70">
        <f t="shared" si="448"/>
        <v>-7.7100000000000364</v>
      </c>
      <c r="DF164" s="70">
        <f t="shared" si="448"/>
        <v>6.9200000000000017</v>
      </c>
      <c r="DG164" s="70">
        <f t="shared" si="448"/>
        <v>420</v>
      </c>
      <c r="DH164" s="70">
        <f t="shared" si="448"/>
        <v>10.5</v>
      </c>
      <c r="DI164" s="70">
        <f t="shared" si="448"/>
        <v>427.71000000000004</v>
      </c>
      <c r="DJ164" s="70">
        <f t="shared" si="448"/>
        <v>-1.7763568394002505E-15</v>
      </c>
      <c r="DK164" s="70">
        <f t="shared" si="448"/>
        <v>40</v>
      </c>
      <c r="DL164" s="70">
        <f t="shared" si="448"/>
        <v>0</v>
      </c>
      <c r="DM164" s="70">
        <f t="shared" si="448"/>
        <v>1447.71</v>
      </c>
      <c r="DN164" s="70">
        <f t="shared" si="448"/>
        <v>40</v>
      </c>
      <c r="DO164" s="70">
        <f t="shared" si="448"/>
        <v>1438.65</v>
      </c>
      <c r="DP164" s="70">
        <f t="shared" si="448"/>
        <v>35.32</v>
      </c>
      <c r="DQ164" s="70">
        <f t="shared" si="448"/>
        <v>9.06</v>
      </c>
      <c r="DR164" s="70">
        <f t="shared" si="448"/>
        <v>4.68</v>
      </c>
      <c r="DS164" s="70">
        <f t="shared" si="448"/>
        <v>143.86500000000001</v>
      </c>
      <c r="DT164" s="70">
        <f t="shared" si="448"/>
        <v>3.532</v>
      </c>
      <c r="DU164" s="70">
        <f t="shared" si="448"/>
        <v>134.80500000000001</v>
      </c>
      <c r="DV164" s="70">
        <f t="shared" si="448"/>
        <v>-1.1479999999999997</v>
      </c>
      <c r="DW164" s="70">
        <f t="shared" si="448"/>
        <v>0</v>
      </c>
      <c r="DX164" s="70">
        <f t="shared" si="448"/>
        <v>0</v>
      </c>
      <c r="DY164" s="70">
        <f t="shared" si="448"/>
        <v>134.81</v>
      </c>
      <c r="DZ164" s="70">
        <f t="shared" si="448"/>
        <v>0</v>
      </c>
      <c r="EA164" s="70">
        <f t="shared" si="448"/>
        <v>0</v>
      </c>
      <c r="EB164" s="96">
        <f t="shared" si="448"/>
        <v>0</v>
      </c>
      <c r="EC164" s="70">
        <f t="shared" si="448"/>
        <v>1582.52</v>
      </c>
      <c r="ED164" s="70">
        <f t="shared" si="448"/>
        <v>40</v>
      </c>
      <c r="EE164" s="70">
        <f t="shared" si="448"/>
        <v>1590.73</v>
      </c>
      <c r="EF164" s="70">
        <f t="shared" si="448"/>
        <v>35.69</v>
      </c>
      <c r="EG164" s="70" t="e">
        <f t="shared" si="448"/>
        <v>#DIV/0!</v>
      </c>
      <c r="EH164" s="70" t="e">
        <f t="shared" si="448"/>
        <v>#DIV/0!</v>
      </c>
      <c r="EI164" s="70">
        <f t="shared" si="448"/>
        <v>-8.2100000000000009</v>
      </c>
      <c r="EJ164" s="70">
        <f t="shared" si="448"/>
        <v>4.3099999999999996</v>
      </c>
      <c r="EK164" s="70">
        <f t="shared" si="448"/>
        <v>144.61000000000001</v>
      </c>
      <c r="EL164" s="70">
        <f t="shared" si="448"/>
        <v>3.24</v>
      </c>
      <c r="EM164" s="70">
        <f t="shared" si="448"/>
        <v>152.82000000000002</v>
      </c>
      <c r="EN164" s="70">
        <f t="shared" si="448"/>
        <v>-1.0699999999999994</v>
      </c>
      <c r="EO164" s="70">
        <f t="shared" si="448"/>
        <v>165.4</v>
      </c>
      <c r="EP164" s="70">
        <f t="shared" si="448"/>
        <v>0</v>
      </c>
      <c r="EQ164" s="66">
        <f t="shared" si="448"/>
        <v>0</v>
      </c>
      <c r="ER164" s="46">
        <f t="shared" si="448"/>
        <v>0</v>
      </c>
      <c r="ES164" s="46">
        <f t="shared" si="448"/>
        <v>0</v>
      </c>
      <c r="ET164" s="46">
        <f t="shared" si="448"/>
        <v>0</v>
      </c>
      <c r="EU164" s="5">
        <f t="shared" si="442"/>
        <v>-37.919999999999987</v>
      </c>
      <c r="EV164" s="5">
        <f t="shared" si="442"/>
        <v>2</v>
      </c>
      <c r="EW164" s="46">
        <f t="shared" si="448"/>
        <v>1710</v>
      </c>
      <c r="EX164" s="46">
        <f t="shared" si="448"/>
        <v>42</v>
      </c>
      <c r="EY164" s="46">
        <f t="shared" si="448"/>
        <v>1750</v>
      </c>
      <c r="EZ164" s="46">
        <f t="shared" si="448"/>
        <v>10</v>
      </c>
      <c r="FA164" s="46">
        <f t="shared" si="448"/>
        <v>0</v>
      </c>
      <c r="FB164" s="46">
        <f t="shared" si="448"/>
        <v>0</v>
      </c>
    </row>
    <row r="165" spans="1:160" ht="18.75" x14ac:dyDescent="0.25">
      <c r="A165" s="68">
        <v>24</v>
      </c>
      <c r="B165" s="68" t="s">
        <v>366</v>
      </c>
      <c r="C165" s="91" t="s">
        <v>183</v>
      </c>
      <c r="D165" s="67" t="s">
        <v>367</v>
      </c>
      <c r="E165" s="69" t="s">
        <v>368</v>
      </c>
      <c r="F165" s="40">
        <v>752.46999999999991</v>
      </c>
      <c r="G165" s="40">
        <v>149.69</v>
      </c>
      <c r="H165" s="40">
        <v>752.46999999999991</v>
      </c>
      <c r="I165" s="70">
        <v>149.69</v>
      </c>
      <c r="J165" s="71">
        <v>800</v>
      </c>
      <c r="K165" s="71">
        <v>90</v>
      </c>
      <c r="L165" s="71">
        <v>0</v>
      </c>
      <c r="M165" s="71">
        <f>+L165+K165+J165</f>
        <v>890</v>
      </c>
      <c r="N165" s="71">
        <v>0</v>
      </c>
      <c r="O165" s="71">
        <v>0</v>
      </c>
      <c r="P165" s="71">
        <v>0</v>
      </c>
      <c r="Q165" s="71">
        <f>+P165+O165+N165</f>
        <v>0</v>
      </c>
      <c r="R165" s="71">
        <f>+Q165+M165</f>
        <v>890</v>
      </c>
      <c r="S165" s="71">
        <v>100</v>
      </c>
      <c r="T165" s="92"/>
      <c r="U165" s="92"/>
      <c r="V165" s="70">
        <f t="shared" ref="V165:V167" si="449">ROUND(H165*1.0583,2)</f>
        <v>796.34</v>
      </c>
      <c r="W165" s="70">
        <f t="shared" ref="W165:W167" si="450">ROUND(I165*1.0327,2)</f>
        <v>154.58000000000001</v>
      </c>
      <c r="X165" s="70">
        <f t="shared" si="352"/>
        <v>93.659999999999968</v>
      </c>
      <c r="Y165" s="70">
        <f t="shared" si="352"/>
        <v>-54.580000000000013</v>
      </c>
      <c r="Z165" s="70">
        <v>796.34</v>
      </c>
      <c r="AA165" s="70"/>
      <c r="AB165" s="70">
        <f t="shared" si="360"/>
        <v>796.34</v>
      </c>
      <c r="AC165" s="43">
        <f t="shared" si="361"/>
        <v>0</v>
      </c>
      <c r="AD165" s="70">
        <f t="shared" ref="AD165:AE167" si="451">IF(X165&gt;0,V165,R165)</f>
        <v>796.34</v>
      </c>
      <c r="AE165" s="70">
        <f t="shared" si="451"/>
        <v>100</v>
      </c>
      <c r="AF165" s="70">
        <f t="shared" si="373"/>
        <v>90.22</v>
      </c>
      <c r="AG165" s="43">
        <f t="shared" si="353"/>
        <v>199</v>
      </c>
      <c r="AH165" s="43">
        <f t="shared" si="353"/>
        <v>25</v>
      </c>
      <c r="AI165" s="93">
        <f t="shared" si="354"/>
        <v>66</v>
      </c>
      <c r="AJ165" s="43">
        <f t="shared" si="354"/>
        <v>8</v>
      </c>
      <c r="AK165" s="43"/>
      <c r="AL165" s="43"/>
      <c r="AM165" s="43">
        <f>ROUND(AD165*25%,2)+70.91</f>
        <v>270</v>
      </c>
      <c r="AN165" s="43">
        <f>ROUND(AE165*24.35%,2)-14.35+40</f>
        <v>50</v>
      </c>
      <c r="AO165" s="43"/>
      <c r="AP165" s="43"/>
      <c r="AQ165" s="43">
        <f t="shared" si="355"/>
        <v>469</v>
      </c>
      <c r="AR165" s="43">
        <f t="shared" si="355"/>
        <v>75</v>
      </c>
      <c r="AS165" s="43"/>
      <c r="AT165" s="43"/>
      <c r="AU165" s="43">
        <f t="shared" si="424"/>
        <v>199.09</v>
      </c>
      <c r="AV165" s="43">
        <f t="shared" si="424"/>
        <v>25</v>
      </c>
      <c r="AW165" s="43"/>
      <c r="AX165" s="43">
        <v>50</v>
      </c>
      <c r="AY165" s="43">
        <f t="shared" si="349"/>
        <v>734.09</v>
      </c>
      <c r="AZ165" s="43">
        <f t="shared" si="349"/>
        <v>158</v>
      </c>
      <c r="BA165" s="43">
        <f t="shared" si="356"/>
        <v>892.09</v>
      </c>
      <c r="BB165" s="60">
        <v>688.32</v>
      </c>
      <c r="BC165" s="60">
        <v>150.68</v>
      </c>
      <c r="BD165" s="60">
        <f t="shared" si="350"/>
        <v>45.769999999999982</v>
      </c>
      <c r="BE165" s="60">
        <f t="shared" si="350"/>
        <v>7.3199999999999932</v>
      </c>
      <c r="BF165" s="60">
        <f t="shared" si="351"/>
        <v>137.66</v>
      </c>
      <c r="BG165" s="60">
        <f t="shared" si="351"/>
        <v>30.14</v>
      </c>
      <c r="BH165" s="43">
        <v>22.28</v>
      </c>
      <c r="BI165" s="43">
        <v>0</v>
      </c>
      <c r="BJ165" s="43">
        <v>30</v>
      </c>
      <c r="BK165" s="43"/>
      <c r="BL165" s="43">
        <f t="shared" si="358"/>
        <v>786.37</v>
      </c>
      <c r="BM165" s="43">
        <f t="shared" si="358"/>
        <v>158</v>
      </c>
      <c r="BN165" s="43">
        <f t="shared" si="376"/>
        <v>944.37</v>
      </c>
      <c r="BO165" s="43">
        <v>783.77</v>
      </c>
      <c r="BP165" s="93">
        <v>151.13999999999999</v>
      </c>
      <c r="BQ165" s="43">
        <f t="shared" si="377"/>
        <v>2.6000000000000227</v>
      </c>
      <c r="BR165" s="43">
        <f t="shared" si="377"/>
        <v>6.8600000000000136</v>
      </c>
      <c r="BS165" s="43">
        <f t="shared" si="378"/>
        <v>71.25</v>
      </c>
      <c r="BT165" s="43">
        <f t="shared" si="378"/>
        <v>13.74</v>
      </c>
      <c r="BU165" s="43">
        <f t="shared" si="421"/>
        <v>68.649999999999977</v>
      </c>
      <c r="BV165" s="43">
        <v>0</v>
      </c>
      <c r="BW165" s="43">
        <v>4</v>
      </c>
      <c r="BX165" s="43"/>
      <c r="BY165" s="43">
        <v>1.1599999999999999</v>
      </c>
      <c r="BZ165" s="43"/>
      <c r="CA165" s="43">
        <v>859.02</v>
      </c>
      <c r="CB165" s="43">
        <v>156.84</v>
      </c>
      <c r="CC165" s="92">
        <v>944.92</v>
      </c>
      <c r="CD165" s="92">
        <v>180.37</v>
      </c>
      <c r="CE165" s="92">
        <v>79</v>
      </c>
      <c r="CF165" s="92">
        <v>15</v>
      </c>
      <c r="CG165" s="92">
        <f t="shared" si="379"/>
        <v>214.76</v>
      </c>
      <c r="CH165" s="92">
        <f t="shared" si="379"/>
        <v>39.21</v>
      </c>
      <c r="CI165" s="43"/>
      <c r="CJ165" s="43"/>
      <c r="CK165" s="43">
        <v>240</v>
      </c>
      <c r="CL165" s="72">
        <f>48-5</f>
        <v>43</v>
      </c>
      <c r="CM165" s="72"/>
      <c r="CN165" s="72">
        <v>1</v>
      </c>
      <c r="CO165" s="43">
        <v>800</v>
      </c>
      <c r="CP165" s="43">
        <v>100</v>
      </c>
      <c r="CQ165" s="43">
        <f t="shared" si="380"/>
        <v>960</v>
      </c>
      <c r="CR165" s="43">
        <f t="shared" si="380"/>
        <v>172</v>
      </c>
      <c r="CS165" s="43">
        <f t="shared" si="381"/>
        <v>800</v>
      </c>
      <c r="CT165" s="43">
        <f t="shared" si="381"/>
        <v>100</v>
      </c>
      <c r="CU165" s="43">
        <f t="shared" si="381"/>
        <v>800</v>
      </c>
      <c r="CV165" s="43">
        <f>IF(CR165&lt;CT165,CR165,CT165)+25.47</f>
        <v>125.47</v>
      </c>
      <c r="CW165" s="43">
        <f t="shared" si="382"/>
        <v>200</v>
      </c>
      <c r="CX165" s="43">
        <v>25</v>
      </c>
      <c r="CY165" s="43">
        <v>18</v>
      </c>
      <c r="CZ165" s="43"/>
      <c r="DA165" s="43">
        <f t="shared" si="383"/>
        <v>537</v>
      </c>
      <c r="DB165" s="43">
        <f t="shared" si="383"/>
        <v>84</v>
      </c>
      <c r="DC165" s="43">
        <v>535.4</v>
      </c>
      <c r="DD165" s="43">
        <v>75.23</v>
      </c>
      <c r="DE165" s="43">
        <f t="shared" si="384"/>
        <v>1.6000000000000227</v>
      </c>
      <c r="DF165" s="43">
        <f t="shared" si="384"/>
        <v>8.769999999999996</v>
      </c>
      <c r="DG165" s="43">
        <f t="shared" ref="DG165:DH167" si="452">ROUND(0.25*(MIN(CU165,EW165)),2)</f>
        <v>200</v>
      </c>
      <c r="DH165" s="43">
        <f t="shared" si="452"/>
        <v>25.5</v>
      </c>
      <c r="DI165" s="43">
        <f>+DG165-DE165</f>
        <v>198.39999999999998</v>
      </c>
      <c r="DJ165" s="43">
        <v>16.000000000000004</v>
      </c>
      <c r="DK165" s="43">
        <v>27</v>
      </c>
      <c r="DL165" s="43">
        <v>25.47</v>
      </c>
      <c r="DM165" s="43">
        <f t="shared" si="385"/>
        <v>762.4</v>
      </c>
      <c r="DN165" s="43">
        <f t="shared" si="385"/>
        <v>125.47</v>
      </c>
      <c r="DO165" s="94">
        <v>752.5</v>
      </c>
      <c r="DP165" s="95">
        <v>107.78</v>
      </c>
      <c r="DQ165" s="60">
        <f t="shared" si="386"/>
        <v>9.9</v>
      </c>
      <c r="DR165" s="60">
        <f t="shared" si="386"/>
        <v>17.690000000000001</v>
      </c>
      <c r="DS165" s="60">
        <f t="shared" si="387"/>
        <v>75.25</v>
      </c>
      <c r="DT165" s="60">
        <f t="shared" si="387"/>
        <v>10.778</v>
      </c>
      <c r="DU165" s="60">
        <f t="shared" si="388"/>
        <v>65.349999999999994</v>
      </c>
      <c r="DV165" s="60">
        <f t="shared" si="388"/>
        <v>-6.9120000000000008</v>
      </c>
      <c r="DW165" s="60"/>
      <c r="DX165" s="60"/>
      <c r="DY165" s="60">
        <f t="shared" si="389"/>
        <v>65.349999999999994</v>
      </c>
      <c r="DZ165" s="60">
        <v>0</v>
      </c>
      <c r="EA165" s="60">
        <v>5.65</v>
      </c>
      <c r="EB165" s="60"/>
      <c r="EC165" s="43">
        <f t="shared" si="390"/>
        <v>833.4</v>
      </c>
      <c r="ED165" s="43">
        <f t="shared" si="390"/>
        <v>125.47</v>
      </c>
      <c r="EE165" s="43">
        <v>830.57</v>
      </c>
      <c r="EF165" s="43">
        <v>125.26</v>
      </c>
      <c r="EG165" s="43">
        <f t="shared" si="423"/>
        <v>99.66</v>
      </c>
      <c r="EH165" s="43">
        <f t="shared" si="423"/>
        <v>99.83</v>
      </c>
      <c r="EI165" s="43">
        <f t="shared" si="391"/>
        <v>2.83</v>
      </c>
      <c r="EJ165" s="43">
        <f t="shared" si="391"/>
        <v>0.21</v>
      </c>
      <c r="EK165" s="43">
        <f t="shared" si="392"/>
        <v>75.510000000000005</v>
      </c>
      <c r="EL165" s="43">
        <f t="shared" si="392"/>
        <v>11.39</v>
      </c>
      <c r="EM165" s="43">
        <f t="shared" si="393"/>
        <v>72.680000000000007</v>
      </c>
      <c r="EN165" s="43">
        <f t="shared" si="393"/>
        <v>11.18</v>
      </c>
      <c r="EO165" s="43">
        <v>68.5</v>
      </c>
      <c r="EP165" s="43">
        <v>0</v>
      </c>
      <c r="EQ165" s="5"/>
      <c r="ER165" s="5"/>
      <c r="ES165" s="5"/>
      <c r="ET165" s="5"/>
      <c r="EU165" s="5">
        <f t="shared" si="442"/>
        <v>4.1000000000000227</v>
      </c>
      <c r="EV165" s="5">
        <f t="shared" si="442"/>
        <v>-23.47</v>
      </c>
      <c r="EW165" s="5">
        <v>906</v>
      </c>
      <c r="EX165" s="5">
        <v>102</v>
      </c>
      <c r="EY165" s="5">
        <v>0</v>
      </c>
      <c r="EZ165" s="5">
        <v>0</v>
      </c>
    </row>
    <row r="166" spans="1:160" ht="18.75" x14ac:dyDescent="0.25">
      <c r="A166" s="37">
        <v>25</v>
      </c>
      <c r="B166" s="37"/>
      <c r="C166" s="91" t="s">
        <v>218</v>
      </c>
      <c r="D166" s="67" t="s">
        <v>369</v>
      </c>
      <c r="E166" s="39"/>
      <c r="F166" s="40">
        <v>1017.7700000000001</v>
      </c>
      <c r="G166" s="40">
        <v>21.319999999999997</v>
      </c>
      <c r="H166" s="40">
        <v>1040.0900000000001</v>
      </c>
      <c r="I166" s="40">
        <v>1.999999999999998</v>
      </c>
      <c r="J166" s="41">
        <v>1085</v>
      </c>
      <c r="K166" s="41">
        <v>0</v>
      </c>
      <c r="L166" s="41">
        <v>0</v>
      </c>
      <c r="M166" s="41">
        <f t="shared" ref="M166:M167" si="453">J166+K166+L166</f>
        <v>1085</v>
      </c>
      <c r="N166" s="41">
        <v>0</v>
      </c>
      <c r="O166" s="41">
        <v>0</v>
      </c>
      <c r="P166" s="41">
        <v>0</v>
      </c>
      <c r="Q166" s="41">
        <f t="shared" ref="Q166:Q167" si="454">N166+O166+P166</f>
        <v>0</v>
      </c>
      <c r="R166" s="41">
        <f t="shared" ref="R166:R167" si="455">+Q166+M166</f>
        <v>1085</v>
      </c>
      <c r="S166" s="41">
        <v>2</v>
      </c>
      <c r="T166" s="92"/>
      <c r="U166" s="92"/>
      <c r="V166" s="40">
        <f t="shared" si="449"/>
        <v>1100.73</v>
      </c>
      <c r="W166" s="40">
        <f t="shared" si="450"/>
        <v>2.0699999999999998</v>
      </c>
      <c r="X166" s="43">
        <f t="shared" si="352"/>
        <v>-15.730000000000018</v>
      </c>
      <c r="Y166" s="43">
        <f t="shared" si="352"/>
        <v>-6.999999999999984E-2</v>
      </c>
      <c r="Z166" s="43">
        <v>1085</v>
      </c>
      <c r="AA166" s="43"/>
      <c r="AB166" s="43">
        <f t="shared" si="360"/>
        <v>1085</v>
      </c>
      <c r="AC166" s="43">
        <f t="shared" si="361"/>
        <v>0</v>
      </c>
      <c r="AD166" s="43">
        <f t="shared" si="451"/>
        <v>1085</v>
      </c>
      <c r="AE166" s="43">
        <f>IF(Y166&gt;0,W166,S166)+23</f>
        <v>25</v>
      </c>
      <c r="AF166" s="43">
        <f t="shared" si="373"/>
        <v>1.8</v>
      </c>
      <c r="AG166" s="43">
        <f t="shared" si="353"/>
        <v>271</v>
      </c>
      <c r="AH166" s="43">
        <v>25</v>
      </c>
      <c r="AI166" s="93">
        <f t="shared" si="354"/>
        <v>90</v>
      </c>
      <c r="AJ166" s="43">
        <v>0</v>
      </c>
      <c r="AK166" s="43"/>
      <c r="AL166" s="43"/>
      <c r="AM166" s="43">
        <f t="shared" si="374"/>
        <v>271.25</v>
      </c>
      <c r="AN166" s="43">
        <f>ROUND(AE166*24.35%,2)-6.09</f>
        <v>0</v>
      </c>
      <c r="AO166" s="43"/>
      <c r="AP166" s="43"/>
      <c r="AQ166" s="43">
        <f t="shared" si="355"/>
        <v>542.25</v>
      </c>
      <c r="AR166" s="43">
        <f t="shared" si="355"/>
        <v>25</v>
      </c>
      <c r="AS166" s="43"/>
      <c r="AT166" s="43"/>
      <c r="AU166" s="43">
        <f t="shared" si="424"/>
        <v>271.25</v>
      </c>
      <c r="AV166" s="43">
        <f>ROUND(AE166*25%,2)+9</f>
        <v>15.25</v>
      </c>
      <c r="AW166" s="43">
        <v>20</v>
      </c>
      <c r="AX166" s="43"/>
      <c r="AY166" s="43">
        <f t="shared" si="349"/>
        <v>923.5</v>
      </c>
      <c r="AZ166" s="43">
        <f t="shared" si="349"/>
        <v>40.25</v>
      </c>
      <c r="BA166" s="43">
        <f t="shared" si="356"/>
        <v>963.75</v>
      </c>
      <c r="BB166" s="60">
        <v>915.3</v>
      </c>
      <c r="BC166" s="60">
        <v>40.22</v>
      </c>
      <c r="BD166" s="60">
        <f t="shared" si="350"/>
        <v>8.2000000000000455</v>
      </c>
      <c r="BE166" s="60">
        <f t="shared" si="350"/>
        <v>3.0000000000001137E-2</v>
      </c>
      <c r="BF166" s="60">
        <f t="shared" si="351"/>
        <v>183.06</v>
      </c>
      <c r="BG166" s="60">
        <f t="shared" si="351"/>
        <v>8.0399999999999991</v>
      </c>
      <c r="BH166" s="43">
        <v>138.75</v>
      </c>
      <c r="BI166" s="43">
        <v>9.01</v>
      </c>
      <c r="BJ166" s="43"/>
      <c r="BK166" s="43"/>
      <c r="BL166" s="43">
        <f t="shared" si="358"/>
        <v>1062.25</v>
      </c>
      <c r="BM166" s="43">
        <f t="shared" si="358"/>
        <v>49.26</v>
      </c>
      <c r="BN166" s="43">
        <f t="shared" si="376"/>
        <v>1111.51</v>
      </c>
      <c r="BO166" s="43">
        <v>1009.24</v>
      </c>
      <c r="BP166" s="93">
        <v>40.35</v>
      </c>
      <c r="BQ166" s="43">
        <f t="shared" si="377"/>
        <v>53.009999999999991</v>
      </c>
      <c r="BR166" s="43">
        <f t="shared" si="377"/>
        <v>8.9099999999999966</v>
      </c>
      <c r="BS166" s="43">
        <f t="shared" si="378"/>
        <v>91.75</v>
      </c>
      <c r="BT166" s="43">
        <f t="shared" si="378"/>
        <v>3.67</v>
      </c>
      <c r="BU166" s="43">
        <f>BS166-BQ166+100.71</f>
        <v>139.44999999999999</v>
      </c>
      <c r="BV166" s="43">
        <v>9.76</v>
      </c>
      <c r="BW166" s="43"/>
      <c r="BX166" s="43"/>
      <c r="BY166" s="43"/>
      <c r="BZ166" s="43"/>
      <c r="CA166" s="43">
        <v>1201.7</v>
      </c>
      <c r="CB166" s="43">
        <v>59.019999999999996</v>
      </c>
      <c r="CC166" s="92">
        <v>1321.87</v>
      </c>
      <c r="CD166" s="92">
        <v>67.87</v>
      </c>
      <c r="CE166" s="92">
        <v>110</v>
      </c>
      <c r="CF166" s="92">
        <v>6</v>
      </c>
      <c r="CG166" s="92">
        <f t="shared" si="379"/>
        <v>300.43</v>
      </c>
      <c r="CH166" s="92">
        <f t="shared" si="379"/>
        <v>14.76</v>
      </c>
      <c r="CI166" s="43"/>
      <c r="CJ166" s="43"/>
      <c r="CK166" s="43">
        <v>311</v>
      </c>
      <c r="CL166" s="43">
        <v>15</v>
      </c>
      <c r="CM166" s="43"/>
      <c r="CN166" s="43"/>
      <c r="CO166" s="43">
        <v>1220</v>
      </c>
      <c r="CP166" s="43">
        <v>65</v>
      </c>
      <c r="CQ166" s="43">
        <f t="shared" si="380"/>
        <v>1244</v>
      </c>
      <c r="CR166" s="43">
        <f t="shared" si="380"/>
        <v>60</v>
      </c>
      <c r="CS166" s="43">
        <f t="shared" si="381"/>
        <v>1220</v>
      </c>
      <c r="CT166" s="43">
        <f t="shared" si="381"/>
        <v>60</v>
      </c>
      <c r="CU166" s="43">
        <v>1255</v>
      </c>
      <c r="CV166" s="43">
        <v>25</v>
      </c>
      <c r="CW166" s="43">
        <f t="shared" si="382"/>
        <v>313.75</v>
      </c>
      <c r="CX166" s="43">
        <f>ROUND(CV166*25%,2)-2.25</f>
        <v>4</v>
      </c>
      <c r="CY166" s="43"/>
      <c r="CZ166" s="43"/>
      <c r="DA166" s="43">
        <f t="shared" si="383"/>
        <v>734.75</v>
      </c>
      <c r="DB166" s="43">
        <f t="shared" si="383"/>
        <v>25</v>
      </c>
      <c r="DC166" s="43">
        <v>719.04</v>
      </c>
      <c r="DD166" s="43">
        <v>21.68</v>
      </c>
      <c r="DE166" s="43">
        <f t="shared" si="384"/>
        <v>15.710000000000036</v>
      </c>
      <c r="DF166" s="43">
        <f t="shared" si="384"/>
        <v>3.3200000000000003</v>
      </c>
      <c r="DG166" s="43">
        <f t="shared" si="452"/>
        <v>313.75</v>
      </c>
      <c r="DH166" s="43">
        <f t="shared" si="452"/>
        <v>6.25</v>
      </c>
      <c r="DI166" s="43">
        <f>+DG166-DE166</f>
        <v>298.03999999999996</v>
      </c>
      <c r="DJ166" s="43">
        <f>+DH166-DF166-2.93</f>
        <v>0</v>
      </c>
      <c r="DK166" s="43">
        <v>10</v>
      </c>
      <c r="DL166" s="43"/>
      <c r="DM166" s="43">
        <f t="shared" si="385"/>
        <v>1042.79</v>
      </c>
      <c r="DN166" s="43">
        <f t="shared" si="385"/>
        <v>25</v>
      </c>
      <c r="DO166" s="94">
        <v>1041.8599999999999</v>
      </c>
      <c r="DP166" s="118">
        <v>22.18</v>
      </c>
      <c r="DQ166" s="60">
        <f t="shared" si="386"/>
        <v>0.93</v>
      </c>
      <c r="DR166" s="60">
        <f t="shared" si="386"/>
        <v>2.82</v>
      </c>
      <c r="DS166" s="60">
        <f t="shared" si="387"/>
        <v>104.18599999999999</v>
      </c>
      <c r="DT166" s="60">
        <f t="shared" si="387"/>
        <v>2.218</v>
      </c>
      <c r="DU166" s="60">
        <f t="shared" si="388"/>
        <v>103.25599999999999</v>
      </c>
      <c r="DV166" s="60">
        <f t="shared" si="388"/>
        <v>-0.60199999999999987</v>
      </c>
      <c r="DW166" s="60"/>
      <c r="DX166" s="60"/>
      <c r="DY166" s="60">
        <f t="shared" si="389"/>
        <v>103.26</v>
      </c>
      <c r="DZ166" s="60">
        <v>0</v>
      </c>
      <c r="EA166" s="60">
        <v>5</v>
      </c>
      <c r="EB166" s="60">
        <v>23</v>
      </c>
      <c r="EC166" s="43">
        <f t="shared" si="390"/>
        <v>1151.05</v>
      </c>
      <c r="ED166" s="43">
        <f t="shared" si="390"/>
        <v>48</v>
      </c>
      <c r="EE166" s="43">
        <v>1145.17</v>
      </c>
      <c r="EF166" s="43">
        <v>22.73</v>
      </c>
      <c r="EG166" s="43">
        <f t="shared" si="423"/>
        <v>99.49</v>
      </c>
      <c r="EH166" s="43">
        <f t="shared" si="423"/>
        <v>47.35</v>
      </c>
      <c r="EI166" s="43">
        <f t="shared" si="391"/>
        <v>5.88</v>
      </c>
      <c r="EJ166" s="43">
        <f t="shared" si="391"/>
        <v>25.27</v>
      </c>
      <c r="EK166" s="43">
        <f t="shared" si="392"/>
        <v>104.11</v>
      </c>
      <c r="EL166" s="43">
        <f t="shared" si="392"/>
        <v>2.0699999999999998</v>
      </c>
      <c r="EM166" s="43">
        <f t="shared" si="393"/>
        <v>98.23</v>
      </c>
      <c r="EN166" s="43">
        <f t="shared" si="393"/>
        <v>-23.2</v>
      </c>
      <c r="EO166" s="43">
        <v>97</v>
      </c>
      <c r="EP166" s="43">
        <v>0</v>
      </c>
      <c r="EQ166" s="5"/>
      <c r="ER166" s="5"/>
      <c r="ES166" s="5"/>
      <c r="ET166" s="5"/>
      <c r="EU166" s="5">
        <f t="shared" si="442"/>
        <v>143.92000000000007</v>
      </c>
      <c r="EV166" s="5">
        <f t="shared" si="442"/>
        <v>-9.6700000000000017</v>
      </c>
      <c r="EW166" s="5">
        <v>1391.97</v>
      </c>
      <c r="EX166" s="5">
        <v>38.33</v>
      </c>
      <c r="EY166" s="5">
        <v>1450</v>
      </c>
      <c r="EZ166" s="5">
        <v>60</v>
      </c>
    </row>
    <row r="167" spans="1:160" ht="37.5" x14ac:dyDescent="0.25">
      <c r="A167" s="68">
        <v>26</v>
      </c>
      <c r="B167" s="68"/>
      <c r="C167" s="91" t="s">
        <v>218</v>
      </c>
      <c r="D167" s="67" t="s">
        <v>370</v>
      </c>
      <c r="E167" s="69"/>
      <c r="F167" s="40">
        <v>0</v>
      </c>
      <c r="G167" s="40">
        <v>0</v>
      </c>
      <c r="H167" s="40">
        <v>0</v>
      </c>
      <c r="I167" s="70">
        <v>0</v>
      </c>
      <c r="J167" s="71">
        <v>0</v>
      </c>
      <c r="K167" s="41">
        <v>0</v>
      </c>
      <c r="L167" s="41">
        <v>0</v>
      </c>
      <c r="M167" s="41">
        <f t="shared" si="453"/>
        <v>0</v>
      </c>
      <c r="N167" s="41">
        <v>0</v>
      </c>
      <c r="O167" s="41">
        <v>0</v>
      </c>
      <c r="P167" s="41">
        <v>0</v>
      </c>
      <c r="Q167" s="41">
        <f t="shared" si="454"/>
        <v>0</v>
      </c>
      <c r="R167" s="41">
        <f t="shared" si="455"/>
        <v>0</v>
      </c>
      <c r="S167" s="41">
        <v>0</v>
      </c>
      <c r="T167" s="92"/>
      <c r="U167" s="92"/>
      <c r="V167" s="40">
        <f t="shared" si="449"/>
        <v>0</v>
      </c>
      <c r="W167" s="40">
        <f t="shared" si="450"/>
        <v>0</v>
      </c>
      <c r="X167" s="43">
        <f t="shared" si="352"/>
        <v>0</v>
      </c>
      <c r="Y167" s="43">
        <f t="shared" si="352"/>
        <v>0</v>
      </c>
      <c r="Z167" s="43">
        <v>0</v>
      </c>
      <c r="AA167" s="43"/>
      <c r="AB167" s="43">
        <f t="shared" si="360"/>
        <v>0</v>
      </c>
      <c r="AC167" s="43">
        <f t="shared" si="361"/>
        <v>0</v>
      </c>
      <c r="AD167" s="43">
        <f t="shared" si="451"/>
        <v>0</v>
      </c>
      <c r="AE167" s="43">
        <f t="shared" si="451"/>
        <v>0</v>
      </c>
      <c r="AF167" s="43">
        <f t="shared" si="373"/>
        <v>0</v>
      </c>
      <c r="AG167" s="43">
        <f t="shared" si="353"/>
        <v>0</v>
      </c>
      <c r="AH167" s="43">
        <f t="shared" si="353"/>
        <v>0</v>
      </c>
      <c r="AI167" s="93">
        <f t="shared" si="354"/>
        <v>0</v>
      </c>
      <c r="AJ167" s="43">
        <f t="shared" si="354"/>
        <v>0</v>
      </c>
      <c r="AK167" s="43"/>
      <c r="AL167" s="43"/>
      <c r="AM167" s="43">
        <f t="shared" si="374"/>
        <v>0</v>
      </c>
      <c r="AN167" s="43">
        <f t="shared" si="375"/>
        <v>0</v>
      </c>
      <c r="AO167" s="43"/>
      <c r="AP167" s="43"/>
      <c r="AQ167" s="43">
        <f t="shared" si="355"/>
        <v>0</v>
      </c>
      <c r="AR167" s="43">
        <f t="shared" si="355"/>
        <v>0</v>
      </c>
      <c r="AS167" s="43"/>
      <c r="AT167" s="43"/>
      <c r="AU167" s="43">
        <f t="shared" si="424"/>
        <v>0</v>
      </c>
      <c r="AV167" s="43">
        <f t="shared" si="424"/>
        <v>0</v>
      </c>
      <c r="AW167" s="43"/>
      <c r="AX167" s="43"/>
      <c r="AY167" s="43">
        <f t="shared" si="349"/>
        <v>0</v>
      </c>
      <c r="AZ167" s="43">
        <f t="shared" si="349"/>
        <v>0</v>
      </c>
      <c r="BA167" s="43">
        <f t="shared" si="356"/>
        <v>0</v>
      </c>
      <c r="BB167" s="60">
        <v>0</v>
      </c>
      <c r="BC167" s="60"/>
      <c r="BD167" s="60">
        <f t="shared" si="350"/>
        <v>0</v>
      </c>
      <c r="BE167" s="60">
        <f t="shared" si="350"/>
        <v>0</v>
      </c>
      <c r="BF167" s="60">
        <f t="shared" si="351"/>
        <v>0</v>
      </c>
      <c r="BG167" s="60">
        <f t="shared" si="351"/>
        <v>0</v>
      </c>
      <c r="BH167" s="43">
        <v>0</v>
      </c>
      <c r="BI167" s="43">
        <v>0</v>
      </c>
      <c r="BJ167" s="43"/>
      <c r="BK167" s="43"/>
      <c r="BL167" s="43">
        <f t="shared" si="358"/>
        <v>0</v>
      </c>
      <c r="BM167" s="43">
        <f t="shared" si="358"/>
        <v>0</v>
      </c>
      <c r="BN167" s="43">
        <f t="shared" si="376"/>
        <v>0</v>
      </c>
      <c r="BO167" s="43">
        <v>0</v>
      </c>
      <c r="BP167" s="93"/>
      <c r="BQ167" s="43">
        <f t="shared" si="377"/>
        <v>0</v>
      </c>
      <c r="BR167" s="43">
        <f t="shared" si="377"/>
        <v>0</v>
      </c>
      <c r="BS167" s="43">
        <f t="shared" si="378"/>
        <v>0</v>
      </c>
      <c r="BT167" s="43">
        <f t="shared" si="378"/>
        <v>0</v>
      </c>
      <c r="BU167" s="43">
        <f t="shared" si="421"/>
        <v>0</v>
      </c>
      <c r="BV167" s="43">
        <v>0</v>
      </c>
      <c r="BW167" s="43"/>
      <c r="BX167" s="43"/>
      <c r="BY167" s="43"/>
      <c r="BZ167" s="43"/>
      <c r="CA167" s="43">
        <v>0</v>
      </c>
      <c r="CB167" s="43">
        <v>0</v>
      </c>
      <c r="CC167" s="92">
        <v>0</v>
      </c>
      <c r="CD167" s="92">
        <v>0</v>
      </c>
      <c r="CE167" s="92">
        <v>0</v>
      </c>
      <c r="CF167" s="92">
        <v>0</v>
      </c>
      <c r="CG167" s="92">
        <f t="shared" si="379"/>
        <v>0</v>
      </c>
      <c r="CH167" s="92">
        <f t="shared" si="379"/>
        <v>0</v>
      </c>
      <c r="CI167" s="43"/>
      <c r="CJ167" s="43"/>
      <c r="CK167" s="43">
        <v>0</v>
      </c>
      <c r="CL167" s="43">
        <v>0</v>
      </c>
      <c r="CM167" s="43"/>
      <c r="CN167" s="43"/>
      <c r="CO167" s="43"/>
      <c r="CP167" s="43"/>
      <c r="CQ167" s="43">
        <f t="shared" si="380"/>
        <v>0</v>
      </c>
      <c r="CR167" s="43">
        <f t="shared" si="380"/>
        <v>0</v>
      </c>
      <c r="CS167" s="43">
        <f t="shared" si="381"/>
        <v>0</v>
      </c>
      <c r="CT167" s="43">
        <f t="shared" si="381"/>
        <v>0</v>
      </c>
      <c r="CU167" s="43">
        <f t="shared" si="381"/>
        <v>0</v>
      </c>
      <c r="CV167" s="43">
        <f t="shared" si="381"/>
        <v>0</v>
      </c>
      <c r="CW167" s="43">
        <f t="shared" si="382"/>
        <v>0</v>
      </c>
      <c r="CX167" s="43">
        <f t="shared" si="382"/>
        <v>0</v>
      </c>
      <c r="CY167" s="43"/>
      <c r="CZ167" s="43"/>
      <c r="DA167" s="43">
        <f t="shared" si="383"/>
        <v>0</v>
      </c>
      <c r="DB167" s="43">
        <f t="shared" si="383"/>
        <v>0</v>
      </c>
      <c r="DC167" s="43">
        <v>0</v>
      </c>
      <c r="DD167" s="43">
        <v>0</v>
      </c>
      <c r="DE167" s="43">
        <f t="shared" si="384"/>
        <v>0</v>
      </c>
      <c r="DF167" s="43">
        <f t="shared" si="384"/>
        <v>0</v>
      </c>
      <c r="DG167" s="43">
        <f t="shared" si="452"/>
        <v>0</v>
      </c>
      <c r="DH167" s="43">
        <f t="shared" si="452"/>
        <v>0</v>
      </c>
      <c r="DI167" s="43">
        <f>+DG167-DE167</f>
        <v>0</v>
      </c>
      <c r="DJ167" s="43">
        <f>+DH167-DF167</f>
        <v>0</v>
      </c>
      <c r="DK167" s="43"/>
      <c r="DL167" s="43"/>
      <c r="DM167" s="43">
        <f t="shared" si="385"/>
        <v>0</v>
      </c>
      <c r="DN167" s="43">
        <f t="shared" si="385"/>
        <v>0</v>
      </c>
      <c r="DO167" s="94">
        <v>0</v>
      </c>
      <c r="DP167" s="95">
        <v>0</v>
      </c>
      <c r="DQ167" s="60">
        <f t="shared" si="386"/>
        <v>0</v>
      </c>
      <c r="DR167" s="60">
        <f t="shared" si="386"/>
        <v>0</v>
      </c>
      <c r="DS167" s="60">
        <f t="shared" si="387"/>
        <v>0</v>
      </c>
      <c r="DT167" s="60">
        <f t="shared" si="387"/>
        <v>0</v>
      </c>
      <c r="DU167" s="60">
        <f t="shared" si="388"/>
        <v>0</v>
      </c>
      <c r="DV167" s="60">
        <f t="shared" si="388"/>
        <v>0</v>
      </c>
      <c r="DW167" s="60"/>
      <c r="DX167" s="60"/>
      <c r="DY167" s="60">
        <f t="shared" si="389"/>
        <v>0</v>
      </c>
      <c r="DZ167" s="60">
        <f t="shared" si="389"/>
        <v>0</v>
      </c>
      <c r="EA167" s="60"/>
      <c r="EB167" s="60"/>
      <c r="EC167" s="43">
        <f t="shared" si="390"/>
        <v>0</v>
      </c>
      <c r="ED167" s="43">
        <f t="shared" si="390"/>
        <v>0</v>
      </c>
      <c r="EE167" s="43">
        <v>0</v>
      </c>
      <c r="EF167" s="43">
        <v>0</v>
      </c>
      <c r="EG167" s="43" t="e">
        <f t="shared" si="423"/>
        <v>#DIV/0!</v>
      </c>
      <c r="EH167" s="43" t="e">
        <f t="shared" si="423"/>
        <v>#DIV/0!</v>
      </c>
      <c r="EI167" s="43">
        <f t="shared" si="391"/>
        <v>0</v>
      </c>
      <c r="EJ167" s="43">
        <f t="shared" si="391"/>
        <v>0</v>
      </c>
      <c r="EK167" s="43">
        <f t="shared" si="392"/>
        <v>0</v>
      </c>
      <c r="EL167" s="43">
        <f t="shared" si="392"/>
        <v>0</v>
      </c>
      <c r="EM167" s="43">
        <f t="shared" si="393"/>
        <v>0</v>
      </c>
      <c r="EN167" s="43">
        <f t="shared" si="393"/>
        <v>0</v>
      </c>
      <c r="EO167" s="43">
        <v>0</v>
      </c>
      <c r="EP167" s="43">
        <v>0</v>
      </c>
      <c r="EQ167" s="5"/>
      <c r="ER167" s="5"/>
      <c r="ES167" s="5"/>
      <c r="ET167" s="5"/>
      <c r="EU167" s="5">
        <f t="shared" si="442"/>
        <v>0</v>
      </c>
      <c r="EV167" s="5">
        <f t="shared" si="442"/>
        <v>0</v>
      </c>
      <c r="EW167" s="5">
        <v>0</v>
      </c>
      <c r="EX167" s="5">
        <v>0</v>
      </c>
      <c r="EY167" s="5">
        <v>0</v>
      </c>
      <c r="EZ167" s="5">
        <v>0</v>
      </c>
    </row>
    <row r="168" spans="1:160" ht="18.75" x14ac:dyDescent="0.25">
      <c r="A168" s="68"/>
      <c r="B168" s="68" t="s">
        <v>371</v>
      </c>
      <c r="C168" s="91" t="s">
        <v>218</v>
      </c>
      <c r="D168" s="67" t="s">
        <v>369</v>
      </c>
      <c r="E168" s="69" t="s">
        <v>372</v>
      </c>
      <c r="F168" s="70">
        <v>1017.7700000000001</v>
      </c>
      <c r="G168" s="70">
        <v>21.319999999999997</v>
      </c>
      <c r="H168" s="70">
        <v>1040.0900000000001</v>
      </c>
      <c r="I168" s="70">
        <v>1.999999999999998</v>
      </c>
      <c r="J168" s="71">
        <f t="shared" ref="J168:AA168" si="456">+J166+J167</f>
        <v>1085</v>
      </c>
      <c r="K168" s="71">
        <f t="shared" si="456"/>
        <v>0</v>
      </c>
      <c r="L168" s="71">
        <f t="shared" si="456"/>
        <v>0</v>
      </c>
      <c r="M168" s="71">
        <f t="shared" si="456"/>
        <v>1085</v>
      </c>
      <c r="N168" s="71">
        <f t="shared" si="456"/>
        <v>0</v>
      </c>
      <c r="O168" s="71">
        <f t="shared" si="456"/>
        <v>0</v>
      </c>
      <c r="P168" s="71">
        <f t="shared" si="456"/>
        <v>0</v>
      </c>
      <c r="Q168" s="71">
        <f t="shared" si="456"/>
        <v>0</v>
      </c>
      <c r="R168" s="71">
        <f t="shared" si="456"/>
        <v>1085</v>
      </c>
      <c r="S168" s="71">
        <f t="shared" si="456"/>
        <v>2</v>
      </c>
      <c r="T168" s="71">
        <f t="shared" si="456"/>
        <v>0</v>
      </c>
      <c r="U168" s="71">
        <f t="shared" si="456"/>
        <v>0</v>
      </c>
      <c r="V168" s="71">
        <f t="shared" si="456"/>
        <v>1100.73</v>
      </c>
      <c r="W168" s="71">
        <f t="shared" si="456"/>
        <v>2.0699999999999998</v>
      </c>
      <c r="X168" s="71">
        <f t="shared" si="456"/>
        <v>-15.730000000000018</v>
      </c>
      <c r="Y168" s="71">
        <f t="shared" si="456"/>
        <v>-6.999999999999984E-2</v>
      </c>
      <c r="Z168" s="71">
        <f t="shared" si="456"/>
        <v>1085</v>
      </c>
      <c r="AA168" s="71">
        <f t="shared" si="456"/>
        <v>0</v>
      </c>
      <c r="AB168" s="70">
        <f t="shared" si="360"/>
        <v>1085</v>
      </c>
      <c r="AC168" s="43">
        <f t="shared" si="361"/>
        <v>0</v>
      </c>
      <c r="AD168" s="70">
        <f t="shared" ref="AD168:CP168" si="457">+AD166+AD167</f>
        <v>1085</v>
      </c>
      <c r="AE168" s="70">
        <f t="shared" si="457"/>
        <v>25</v>
      </c>
      <c r="AF168" s="70">
        <f t="shared" si="457"/>
        <v>1.8</v>
      </c>
      <c r="AG168" s="70">
        <f t="shared" si="457"/>
        <v>271</v>
      </c>
      <c r="AH168" s="70">
        <f t="shared" si="457"/>
        <v>25</v>
      </c>
      <c r="AI168" s="96">
        <f t="shared" si="457"/>
        <v>90</v>
      </c>
      <c r="AJ168" s="70">
        <f t="shared" si="457"/>
        <v>0</v>
      </c>
      <c r="AK168" s="70">
        <f t="shared" si="457"/>
        <v>0</v>
      </c>
      <c r="AL168" s="70">
        <f t="shared" si="457"/>
        <v>0</v>
      </c>
      <c r="AM168" s="70">
        <f t="shared" si="457"/>
        <v>271.25</v>
      </c>
      <c r="AN168" s="70">
        <f t="shared" si="457"/>
        <v>0</v>
      </c>
      <c r="AO168" s="70">
        <f t="shared" si="457"/>
        <v>0</v>
      </c>
      <c r="AP168" s="70">
        <f t="shared" si="457"/>
        <v>0</v>
      </c>
      <c r="AQ168" s="70">
        <f t="shared" si="457"/>
        <v>542.25</v>
      </c>
      <c r="AR168" s="70">
        <f t="shared" si="457"/>
        <v>25</v>
      </c>
      <c r="AS168" s="70">
        <f t="shared" si="457"/>
        <v>0</v>
      </c>
      <c r="AT168" s="70">
        <f t="shared" si="457"/>
        <v>0</v>
      </c>
      <c r="AU168" s="70">
        <f t="shared" si="457"/>
        <v>271.25</v>
      </c>
      <c r="AV168" s="70">
        <f t="shared" si="457"/>
        <v>15.25</v>
      </c>
      <c r="AW168" s="70">
        <f t="shared" si="457"/>
        <v>20</v>
      </c>
      <c r="AX168" s="70">
        <f t="shared" si="457"/>
        <v>0</v>
      </c>
      <c r="AY168" s="70">
        <f t="shared" si="457"/>
        <v>923.5</v>
      </c>
      <c r="AZ168" s="70">
        <f t="shared" si="457"/>
        <v>40.25</v>
      </c>
      <c r="BA168" s="70">
        <f t="shared" si="457"/>
        <v>963.75</v>
      </c>
      <c r="BB168" s="70">
        <f t="shared" si="457"/>
        <v>915.3</v>
      </c>
      <c r="BC168" s="70">
        <f t="shared" si="457"/>
        <v>40.22</v>
      </c>
      <c r="BD168" s="70">
        <f t="shared" si="457"/>
        <v>8.2000000000000455</v>
      </c>
      <c r="BE168" s="70">
        <f t="shared" si="457"/>
        <v>3.0000000000001137E-2</v>
      </c>
      <c r="BF168" s="70">
        <f t="shared" si="457"/>
        <v>183.06</v>
      </c>
      <c r="BG168" s="96">
        <f t="shared" si="457"/>
        <v>8.0399999999999991</v>
      </c>
      <c r="BH168" s="96">
        <f t="shared" si="457"/>
        <v>138.75</v>
      </c>
      <c r="BI168" s="96">
        <f t="shared" si="457"/>
        <v>9.01</v>
      </c>
      <c r="BJ168" s="96">
        <f t="shared" si="457"/>
        <v>0</v>
      </c>
      <c r="BK168" s="96">
        <f t="shared" si="457"/>
        <v>0</v>
      </c>
      <c r="BL168" s="96">
        <f t="shared" si="457"/>
        <v>1062.25</v>
      </c>
      <c r="BM168" s="96">
        <f t="shared" si="457"/>
        <v>49.26</v>
      </c>
      <c r="BN168" s="96">
        <f t="shared" si="457"/>
        <v>1111.51</v>
      </c>
      <c r="BO168" s="96">
        <f t="shared" si="457"/>
        <v>1009.24</v>
      </c>
      <c r="BP168" s="96">
        <f t="shared" si="457"/>
        <v>40.35</v>
      </c>
      <c r="BQ168" s="70">
        <f t="shared" si="457"/>
        <v>53.009999999999991</v>
      </c>
      <c r="BR168" s="70">
        <f t="shared" si="457"/>
        <v>8.9099999999999966</v>
      </c>
      <c r="BS168" s="70">
        <f t="shared" si="457"/>
        <v>91.75</v>
      </c>
      <c r="BT168" s="70">
        <f t="shared" si="457"/>
        <v>3.67</v>
      </c>
      <c r="BU168" s="70">
        <f t="shared" si="457"/>
        <v>139.44999999999999</v>
      </c>
      <c r="BV168" s="70">
        <f t="shared" si="457"/>
        <v>9.76</v>
      </c>
      <c r="BW168" s="70">
        <f t="shared" si="457"/>
        <v>0</v>
      </c>
      <c r="BX168" s="70">
        <f t="shared" si="457"/>
        <v>0</v>
      </c>
      <c r="BY168" s="70">
        <f t="shared" si="457"/>
        <v>0</v>
      </c>
      <c r="BZ168" s="70">
        <f t="shared" si="457"/>
        <v>0</v>
      </c>
      <c r="CA168" s="70">
        <f t="shared" si="457"/>
        <v>1201.7</v>
      </c>
      <c r="CB168" s="70">
        <f t="shared" si="457"/>
        <v>59.019999999999996</v>
      </c>
      <c r="CC168" s="70">
        <f t="shared" si="457"/>
        <v>1321.87</v>
      </c>
      <c r="CD168" s="70">
        <f t="shared" si="457"/>
        <v>67.87</v>
      </c>
      <c r="CE168" s="70">
        <f t="shared" si="457"/>
        <v>110</v>
      </c>
      <c r="CF168" s="70">
        <f t="shared" si="457"/>
        <v>6</v>
      </c>
      <c r="CG168" s="70">
        <f t="shared" si="457"/>
        <v>300.43</v>
      </c>
      <c r="CH168" s="96">
        <f t="shared" si="457"/>
        <v>14.76</v>
      </c>
      <c r="CI168" s="70">
        <f t="shared" si="457"/>
        <v>0</v>
      </c>
      <c r="CJ168" s="70">
        <f t="shared" si="457"/>
        <v>0</v>
      </c>
      <c r="CK168" s="70">
        <f t="shared" si="457"/>
        <v>311</v>
      </c>
      <c r="CL168" s="70">
        <f t="shared" si="457"/>
        <v>15</v>
      </c>
      <c r="CM168" s="70">
        <f t="shared" si="457"/>
        <v>0</v>
      </c>
      <c r="CN168" s="70">
        <f t="shared" si="457"/>
        <v>0</v>
      </c>
      <c r="CO168" s="70">
        <f t="shared" si="457"/>
        <v>1220</v>
      </c>
      <c r="CP168" s="70">
        <f t="shared" si="457"/>
        <v>65</v>
      </c>
      <c r="CQ168" s="70">
        <f t="shared" ref="CQ168:FB168" si="458">+CQ166+CQ167</f>
        <v>1244</v>
      </c>
      <c r="CR168" s="70">
        <f t="shared" si="458"/>
        <v>60</v>
      </c>
      <c r="CS168" s="70">
        <f t="shared" si="458"/>
        <v>1220</v>
      </c>
      <c r="CT168" s="70">
        <f t="shared" si="458"/>
        <v>60</v>
      </c>
      <c r="CU168" s="70">
        <f t="shared" si="458"/>
        <v>1255</v>
      </c>
      <c r="CV168" s="70">
        <f t="shared" si="458"/>
        <v>25</v>
      </c>
      <c r="CW168" s="70">
        <f t="shared" si="458"/>
        <v>313.75</v>
      </c>
      <c r="CX168" s="70">
        <f t="shared" si="458"/>
        <v>4</v>
      </c>
      <c r="CY168" s="70">
        <f t="shared" si="458"/>
        <v>0</v>
      </c>
      <c r="CZ168" s="70">
        <f t="shared" si="458"/>
        <v>0</v>
      </c>
      <c r="DA168" s="70">
        <f t="shared" si="458"/>
        <v>734.75</v>
      </c>
      <c r="DB168" s="70">
        <f t="shared" si="458"/>
        <v>25</v>
      </c>
      <c r="DC168" s="70">
        <f t="shared" si="458"/>
        <v>719.04</v>
      </c>
      <c r="DD168" s="70">
        <f t="shared" si="458"/>
        <v>21.68</v>
      </c>
      <c r="DE168" s="70">
        <f t="shared" si="458"/>
        <v>15.710000000000036</v>
      </c>
      <c r="DF168" s="70">
        <f t="shared" si="458"/>
        <v>3.3200000000000003</v>
      </c>
      <c r="DG168" s="70">
        <f t="shared" si="458"/>
        <v>313.75</v>
      </c>
      <c r="DH168" s="70">
        <f t="shared" si="458"/>
        <v>6.25</v>
      </c>
      <c r="DI168" s="70">
        <f t="shared" si="458"/>
        <v>298.03999999999996</v>
      </c>
      <c r="DJ168" s="70">
        <f t="shared" si="458"/>
        <v>0</v>
      </c>
      <c r="DK168" s="70">
        <f t="shared" si="458"/>
        <v>10</v>
      </c>
      <c r="DL168" s="70">
        <f t="shared" si="458"/>
        <v>0</v>
      </c>
      <c r="DM168" s="70">
        <f t="shared" si="458"/>
        <v>1042.79</v>
      </c>
      <c r="DN168" s="70">
        <f t="shared" si="458"/>
        <v>25</v>
      </c>
      <c r="DO168" s="70">
        <f t="shared" si="458"/>
        <v>1041.8599999999999</v>
      </c>
      <c r="DP168" s="70">
        <f t="shared" si="458"/>
        <v>22.18</v>
      </c>
      <c r="DQ168" s="70">
        <f t="shared" si="458"/>
        <v>0.93</v>
      </c>
      <c r="DR168" s="70">
        <f t="shared" si="458"/>
        <v>2.82</v>
      </c>
      <c r="DS168" s="70">
        <f t="shared" si="458"/>
        <v>104.18599999999999</v>
      </c>
      <c r="DT168" s="70">
        <f t="shared" si="458"/>
        <v>2.218</v>
      </c>
      <c r="DU168" s="70">
        <f t="shared" si="458"/>
        <v>103.25599999999999</v>
      </c>
      <c r="DV168" s="70">
        <f t="shared" si="458"/>
        <v>-0.60199999999999987</v>
      </c>
      <c r="DW168" s="70">
        <f t="shared" si="458"/>
        <v>0</v>
      </c>
      <c r="DX168" s="70">
        <f t="shared" si="458"/>
        <v>0</v>
      </c>
      <c r="DY168" s="70">
        <f t="shared" si="458"/>
        <v>103.26</v>
      </c>
      <c r="DZ168" s="70">
        <f t="shared" si="458"/>
        <v>0</v>
      </c>
      <c r="EA168" s="70">
        <f t="shared" si="458"/>
        <v>5</v>
      </c>
      <c r="EB168" s="96">
        <f t="shared" si="458"/>
        <v>23</v>
      </c>
      <c r="EC168" s="70">
        <f t="shared" si="458"/>
        <v>1151.05</v>
      </c>
      <c r="ED168" s="70">
        <f t="shared" si="458"/>
        <v>48</v>
      </c>
      <c r="EE168" s="70">
        <f t="shared" si="458"/>
        <v>1145.17</v>
      </c>
      <c r="EF168" s="70">
        <f t="shared" si="458"/>
        <v>22.73</v>
      </c>
      <c r="EG168" s="70" t="e">
        <f t="shared" si="458"/>
        <v>#DIV/0!</v>
      </c>
      <c r="EH168" s="70" t="e">
        <f t="shared" si="458"/>
        <v>#DIV/0!</v>
      </c>
      <c r="EI168" s="70">
        <f t="shared" si="458"/>
        <v>5.88</v>
      </c>
      <c r="EJ168" s="70">
        <f t="shared" si="458"/>
        <v>25.27</v>
      </c>
      <c r="EK168" s="70">
        <f t="shared" si="458"/>
        <v>104.11</v>
      </c>
      <c r="EL168" s="70">
        <f t="shared" si="458"/>
        <v>2.0699999999999998</v>
      </c>
      <c r="EM168" s="70">
        <f t="shared" si="458"/>
        <v>98.23</v>
      </c>
      <c r="EN168" s="70">
        <f t="shared" si="458"/>
        <v>-23.2</v>
      </c>
      <c r="EO168" s="70">
        <f t="shared" si="458"/>
        <v>97</v>
      </c>
      <c r="EP168" s="70">
        <f t="shared" si="458"/>
        <v>0</v>
      </c>
      <c r="EQ168" s="66">
        <f t="shared" si="458"/>
        <v>0</v>
      </c>
      <c r="ER168" s="5"/>
      <c r="ES168" s="46">
        <f t="shared" si="458"/>
        <v>0</v>
      </c>
      <c r="ET168" s="66"/>
      <c r="EU168" s="5">
        <f t="shared" si="442"/>
        <v>143.92000000000007</v>
      </c>
      <c r="EV168" s="5">
        <f t="shared" si="442"/>
        <v>-9.6700000000000017</v>
      </c>
      <c r="EW168" s="46">
        <f t="shared" si="458"/>
        <v>1391.97</v>
      </c>
      <c r="EX168" s="46">
        <f t="shared" si="458"/>
        <v>38.33</v>
      </c>
      <c r="EY168" s="46">
        <f t="shared" si="458"/>
        <v>1450</v>
      </c>
      <c r="EZ168" s="46">
        <f t="shared" si="458"/>
        <v>60</v>
      </c>
      <c r="FA168" s="46">
        <f t="shared" si="458"/>
        <v>0</v>
      </c>
      <c r="FB168" s="46">
        <f t="shared" si="458"/>
        <v>0</v>
      </c>
    </row>
    <row r="169" spans="1:160" ht="18.75" x14ac:dyDescent="0.25">
      <c r="A169" s="68">
        <v>27</v>
      </c>
      <c r="B169" s="68" t="s">
        <v>373</v>
      </c>
      <c r="C169" s="91" t="s">
        <v>188</v>
      </c>
      <c r="D169" s="67" t="s">
        <v>374</v>
      </c>
      <c r="E169" s="69" t="s">
        <v>375</v>
      </c>
      <c r="F169" s="40">
        <v>648.83999999999992</v>
      </c>
      <c r="G169" s="40">
        <v>144.13</v>
      </c>
      <c r="H169" s="40">
        <v>648.83999999999992</v>
      </c>
      <c r="I169" s="70">
        <v>144.13</v>
      </c>
      <c r="J169" s="71">
        <v>745</v>
      </c>
      <c r="K169" s="71">
        <v>0</v>
      </c>
      <c r="L169" s="71">
        <v>0</v>
      </c>
      <c r="M169" s="71">
        <f>+L169+K169+J169</f>
        <v>745</v>
      </c>
      <c r="N169" s="71">
        <v>0</v>
      </c>
      <c r="O169" s="71">
        <v>0</v>
      </c>
      <c r="P169" s="71">
        <v>0</v>
      </c>
      <c r="Q169" s="71">
        <f>+P169+O169+N169</f>
        <v>0</v>
      </c>
      <c r="R169" s="71">
        <f>+Q169+M169</f>
        <v>745</v>
      </c>
      <c r="S169" s="71">
        <v>10</v>
      </c>
      <c r="T169" s="92"/>
      <c r="U169" s="92"/>
      <c r="V169" s="70">
        <f t="shared" ref="V169:V173" si="459">ROUND(H169*1.0583,2)</f>
        <v>686.67</v>
      </c>
      <c r="W169" s="70">
        <f t="shared" ref="W169:W173" si="460">ROUND(I169*1.0327,2)</f>
        <v>148.84</v>
      </c>
      <c r="X169" s="70">
        <f t="shared" si="352"/>
        <v>58.330000000000041</v>
      </c>
      <c r="Y169" s="70">
        <f t="shared" si="352"/>
        <v>-138.84</v>
      </c>
      <c r="Z169" s="70">
        <v>686.67</v>
      </c>
      <c r="AA169" s="70"/>
      <c r="AB169" s="70">
        <f t="shared" si="360"/>
        <v>686.67</v>
      </c>
      <c r="AC169" s="43">
        <f t="shared" si="361"/>
        <v>0</v>
      </c>
      <c r="AD169" s="70">
        <f t="shared" ref="AD169:AE173" si="461">IF(X169&gt;0,V169,R169)</f>
        <v>686.67</v>
      </c>
      <c r="AE169" s="70">
        <f t="shared" si="461"/>
        <v>10</v>
      </c>
      <c r="AF169" s="70">
        <f t="shared" si="373"/>
        <v>9.02</v>
      </c>
      <c r="AG169" s="43">
        <f t="shared" si="353"/>
        <v>172</v>
      </c>
      <c r="AH169" s="43">
        <f t="shared" si="353"/>
        <v>3</v>
      </c>
      <c r="AI169" s="93">
        <f t="shared" si="354"/>
        <v>57</v>
      </c>
      <c r="AJ169" s="43">
        <f t="shared" si="354"/>
        <v>1</v>
      </c>
      <c r="AK169" s="43"/>
      <c r="AL169" s="43"/>
      <c r="AM169" s="43">
        <f t="shared" si="374"/>
        <v>171.67</v>
      </c>
      <c r="AN169" s="43">
        <f t="shared" si="375"/>
        <v>2.44</v>
      </c>
      <c r="AO169" s="43"/>
      <c r="AP169" s="43"/>
      <c r="AQ169" s="43">
        <f t="shared" si="355"/>
        <v>343.66999999999996</v>
      </c>
      <c r="AR169" s="43">
        <f t="shared" si="355"/>
        <v>5.4399999999999995</v>
      </c>
      <c r="AS169" s="43"/>
      <c r="AT169" s="43"/>
      <c r="AU169" s="43">
        <f t="shared" si="424"/>
        <v>171.67</v>
      </c>
      <c r="AV169" s="43">
        <f t="shared" si="424"/>
        <v>2.5</v>
      </c>
      <c r="AW169" s="43">
        <v>35</v>
      </c>
      <c r="AX169" s="43">
        <v>28</v>
      </c>
      <c r="AY169" s="43">
        <f t="shared" si="349"/>
        <v>607.33999999999992</v>
      </c>
      <c r="AZ169" s="43">
        <f t="shared" si="349"/>
        <v>36.94</v>
      </c>
      <c r="BA169" s="43">
        <f t="shared" si="356"/>
        <v>644.28</v>
      </c>
      <c r="BB169" s="60">
        <v>606.27</v>
      </c>
      <c r="BC169" s="60">
        <v>6.18</v>
      </c>
      <c r="BD169" s="60">
        <f t="shared" si="350"/>
        <v>1.0699999999999363</v>
      </c>
      <c r="BE169" s="60">
        <f t="shared" si="350"/>
        <v>30.759999999999998</v>
      </c>
      <c r="BF169" s="60">
        <f t="shared" si="351"/>
        <v>121.25</v>
      </c>
      <c r="BG169" s="60">
        <f t="shared" si="351"/>
        <v>1.24</v>
      </c>
      <c r="BH169" s="43">
        <v>41.33</v>
      </c>
      <c r="BI169" s="43">
        <v>0</v>
      </c>
      <c r="BJ169" s="43">
        <v>32</v>
      </c>
      <c r="BK169" s="43">
        <v>0</v>
      </c>
      <c r="BL169" s="43">
        <f t="shared" si="358"/>
        <v>680.67</v>
      </c>
      <c r="BM169" s="43">
        <f t="shared" si="358"/>
        <v>36.94</v>
      </c>
      <c r="BN169" s="43">
        <f t="shared" si="376"/>
        <v>717.6099999999999</v>
      </c>
      <c r="BO169" s="43">
        <v>680.36</v>
      </c>
      <c r="BP169" s="93">
        <v>6.73</v>
      </c>
      <c r="BQ169" s="43">
        <f t="shared" si="377"/>
        <v>0.30999999999994543</v>
      </c>
      <c r="BR169" s="43">
        <f t="shared" si="377"/>
        <v>30.209999999999997</v>
      </c>
      <c r="BS169" s="43">
        <f t="shared" si="378"/>
        <v>61.85</v>
      </c>
      <c r="BT169" s="43">
        <f t="shared" si="378"/>
        <v>0.61</v>
      </c>
      <c r="BU169" s="43">
        <v>86.19</v>
      </c>
      <c r="BV169" s="43">
        <v>0</v>
      </c>
      <c r="BW169" s="43"/>
      <c r="BX169" s="43"/>
      <c r="BY169" s="43">
        <v>29.69</v>
      </c>
      <c r="BZ169" s="43"/>
      <c r="CA169" s="43">
        <v>766.8599999999999</v>
      </c>
      <c r="CB169" s="43">
        <v>7.2499999999999964</v>
      </c>
      <c r="CC169" s="92">
        <v>843.55</v>
      </c>
      <c r="CD169" s="92">
        <v>8.34</v>
      </c>
      <c r="CE169" s="92">
        <v>70</v>
      </c>
      <c r="CF169" s="92">
        <v>1</v>
      </c>
      <c r="CG169" s="92">
        <f t="shared" si="379"/>
        <v>191.72</v>
      </c>
      <c r="CH169" s="92">
        <f t="shared" si="379"/>
        <v>1.81</v>
      </c>
      <c r="CI169" s="43"/>
      <c r="CJ169" s="43"/>
      <c r="CK169" s="43">
        <v>212</v>
      </c>
      <c r="CL169" s="43">
        <v>1</v>
      </c>
      <c r="CM169" s="43"/>
      <c r="CN169" s="43"/>
      <c r="CO169" s="43">
        <v>720</v>
      </c>
      <c r="CP169" s="43">
        <v>30</v>
      </c>
      <c r="CQ169" s="43">
        <f t="shared" si="380"/>
        <v>848</v>
      </c>
      <c r="CR169" s="43">
        <f t="shared" si="380"/>
        <v>4</v>
      </c>
      <c r="CS169" s="43">
        <f t="shared" si="381"/>
        <v>720</v>
      </c>
      <c r="CT169" s="43">
        <f t="shared" si="381"/>
        <v>4</v>
      </c>
      <c r="CU169" s="43">
        <v>890</v>
      </c>
      <c r="CV169" s="43">
        <v>2</v>
      </c>
      <c r="CW169" s="43">
        <f>ROUND(CU169*25%,2)+9.5+3</f>
        <v>235</v>
      </c>
      <c r="CX169" s="43">
        <f>ROUND(CV169*25%,2)-0.5</f>
        <v>0</v>
      </c>
      <c r="CY169" s="43"/>
      <c r="CZ169" s="43"/>
      <c r="DA169" s="43">
        <f t="shared" si="383"/>
        <v>517</v>
      </c>
      <c r="DB169" s="43">
        <f t="shared" si="383"/>
        <v>2</v>
      </c>
      <c r="DC169" s="43">
        <v>513.20000000000005</v>
      </c>
      <c r="DD169" s="43">
        <v>0.28000000000000003</v>
      </c>
      <c r="DE169" s="43">
        <f t="shared" si="384"/>
        <v>3.7999999999999545</v>
      </c>
      <c r="DF169" s="43">
        <f t="shared" si="384"/>
        <v>1.72</v>
      </c>
      <c r="DG169" s="43">
        <f t="shared" ref="DG169:DH173" si="462">ROUND(0.25*(MIN(CU169,EW169)),2)</f>
        <v>222.5</v>
      </c>
      <c r="DH169" s="43">
        <f t="shared" si="462"/>
        <v>0.5</v>
      </c>
      <c r="DI169" s="43">
        <f>+DG169-DE169+51.3</f>
        <v>270.00000000000006</v>
      </c>
      <c r="DJ169" s="43">
        <f>+DH169-DF169+1.22</f>
        <v>0</v>
      </c>
      <c r="DK169" s="43"/>
      <c r="DL169" s="43"/>
      <c r="DM169" s="43">
        <f t="shared" si="385"/>
        <v>787</v>
      </c>
      <c r="DN169" s="43">
        <f t="shared" si="385"/>
        <v>2</v>
      </c>
      <c r="DO169" s="94">
        <v>771.94</v>
      </c>
      <c r="DP169" s="95">
        <v>1.05</v>
      </c>
      <c r="DQ169" s="60">
        <f t="shared" si="386"/>
        <v>15.06</v>
      </c>
      <c r="DR169" s="60">
        <f t="shared" si="386"/>
        <v>0.95</v>
      </c>
      <c r="DS169" s="60">
        <f t="shared" si="387"/>
        <v>77.194000000000003</v>
      </c>
      <c r="DT169" s="60">
        <f t="shared" si="387"/>
        <v>0.10500000000000001</v>
      </c>
      <c r="DU169" s="60">
        <f t="shared" si="388"/>
        <v>62.134</v>
      </c>
      <c r="DV169" s="60">
        <f t="shared" si="388"/>
        <v>-0.84499999999999997</v>
      </c>
      <c r="DW169" s="60"/>
      <c r="DX169" s="60"/>
      <c r="DY169" s="60">
        <v>100</v>
      </c>
      <c r="DZ169" s="60">
        <v>0</v>
      </c>
      <c r="EA169" s="60"/>
      <c r="EB169" s="60"/>
      <c r="EC169" s="43">
        <f t="shared" si="390"/>
        <v>887</v>
      </c>
      <c r="ED169" s="43">
        <f t="shared" si="390"/>
        <v>2</v>
      </c>
      <c r="EE169" s="43">
        <v>840.59</v>
      </c>
      <c r="EF169" s="43">
        <v>1.46</v>
      </c>
      <c r="EG169" s="43">
        <f t="shared" si="423"/>
        <v>94.77</v>
      </c>
      <c r="EH169" s="43">
        <f t="shared" si="423"/>
        <v>73</v>
      </c>
      <c r="EI169" s="43">
        <f t="shared" si="391"/>
        <v>46.41</v>
      </c>
      <c r="EJ169" s="43">
        <f t="shared" si="391"/>
        <v>0.54</v>
      </c>
      <c r="EK169" s="43">
        <f t="shared" si="392"/>
        <v>76.42</v>
      </c>
      <c r="EL169" s="43">
        <f t="shared" si="392"/>
        <v>0.13</v>
      </c>
      <c r="EM169" s="43">
        <f t="shared" si="393"/>
        <v>30.010000000000005</v>
      </c>
      <c r="EN169" s="43">
        <f t="shared" si="393"/>
        <v>-0.41000000000000003</v>
      </c>
      <c r="EO169" s="43">
        <v>24</v>
      </c>
      <c r="EP169" s="43">
        <v>0</v>
      </c>
      <c r="EQ169" s="5"/>
      <c r="ER169" s="5"/>
      <c r="ES169" s="45">
        <v>121.49999999999994</v>
      </c>
      <c r="ET169" s="45">
        <v>0</v>
      </c>
      <c r="EU169" s="5">
        <f t="shared" si="442"/>
        <v>-2.5</v>
      </c>
      <c r="EV169" s="5">
        <f t="shared" si="442"/>
        <v>0</v>
      </c>
      <c r="EW169" s="5">
        <v>908.5</v>
      </c>
      <c r="EX169" s="5">
        <v>2</v>
      </c>
      <c r="EY169" s="5">
        <v>890</v>
      </c>
      <c r="EZ169" s="5">
        <v>52</v>
      </c>
    </row>
    <row r="170" spans="1:160" ht="18.75" x14ac:dyDescent="0.25">
      <c r="A170" s="68">
        <v>28</v>
      </c>
      <c r="B170" s="68" t="s">
        <v>376</v>
      </c>
      <c r="C170" s="91" t="s">
        <v>377</v>
      </c>
      <c r="D170" s="67" t="s">
        <v>378</v>
      </c>
      <c r="E170" s="69" t="s">
        <v>379</v>
      </c>
      <c r="F170" s="40">
        <v>433.95</v>
      </c>
      <c r="G170" s="40">
        <v>72.27</v>
      </c>
      <c r="H170" s="40">
        <v>433.95</v>
      </c>
      <c r="I170" s="70">
        <v>72.27</v>
      </c>
      <c r="J170" s="71">
        <v>0</v>
      </c>
      <c r="K170" s="71">
        <v>0</v>
      </c>
      <c r="L170" s="71">
        <v>0</v>
      </c>
      <c r="M170" s="71">
        <f>+L170+K170+J170</f>
        <v>0</v>
      </c>
      <c r="N170" s="71">
        <v>500</v>
      </c>
      <c r="O170" s="71">
        <v>50</v>
      </c>
      <c r="P170" s="71">
        <v>0</v>
      </c>
      <c r="Q170" s="71">
        <f>+P170+O170+N170</f>
        <v>550</v>
      </c>
      <c r="R170" s="71">
        <f>+Q170+M170</f>
        <v>550</v>
      </c>
      <c r="S170" s="71">
        <v>0</v>
      </c>
      <c r="T170" s="92"/>
      <c r="U170" s="92"/>
      <c r="V170" s="70">
        <f t="shared" si="459"/>
        <v>459.25</v>
      </c>
      <c r="W170" s="70">
        <f t="shared" si="460"/>
        <v>74.63</v>
      </c>
      <c r="X170" s="70">
        <f t="shared" si="352"/>
        <v>90.75</v>
      </c>
      <c r="Y170" s="70">
        <f t="shared" si="352"/>
        <v>-74.63</v>
      </c>
      <c r="Z170" s="70"/>
      <c r="AA170" s="70">
        <v>504.25</v>
      </c>
      <c r="AB170" s="70">
        <f t="shared" si="360"/>
        <v>504.25</v>
      </c>
      <c r="AC170" s="43">
        <f t="shared" si="361"/>
        <v>0</v>
      </c>
      <c r="AD170" s="70">
        <f>IF(X170&gt;0,V170,R170)+45</f>
        <v>504.25</v>
      </c>
      <c r="AE170" s="70">
        <f>IF(Y170&gt;0,W170,S170)+0.82</f>
        <v>0.82</v>
      </c>
      <c r="AF170" s="70">
        <f t="shared" si="373"/>
        <v>0</v>
      </c>
      <c r="AG170" s="43">
        <f t="shared" si="353"/>
        <v>126</v>
      </c>
      <c r="AH170" s="43">
        <f t="shared" si="353"/>
        <v>0</v>
      </c>
      <c r="AI170" s="93">
        <f t="shared" si="354"/>
        <v>42</v>
      </c>
      <c r="AJ170" s="43">
        <f t="shared" si="354"/>
        <v>0</v>
      </c>
      <c r="AK170" s="43"/>
      <c r="AL170" s="43">
        <v>0.82</v>
      </c>
      <c r="AM170" s="43">
        <f t="shared" si="374"/>
        <v>126.06</v>
      </c>
      <c r="AN170" s="43">
        <f>ROUND(AE170*24.35%,2)-0.2</f>
        <v>0</v>
      </c>
      <c r="AO170" s="43"/>
      <c r="AP170" s="43"/>
      <c r="AQ170" s="43">
        <f t="shared" si="355"/>
        <v>252.06</v>
      </c>
      <c r="AR170" s="43">
        <f t="shared" si="355"/>
        <v>0.82</v>
      </c>
      <c r="AS170" s="43"/>
      <c r="AT170" s="43"/>
      <c r="AU170" s="43">
        <f>ROUND(AD170*25%,2)-79.54</f>
        <v>46.519999999999996</v>
      </c>
      <c r="AV170" s="43">
        <f>ROUND(AE170*25%,2)-0.21</f>
        <v>0</v>
      </c>
      <c r="AW170" s="43"/>
      <c r="AX170" s="72"/>
      <c r="AY170" s="43">
        <f t="shared" si="349"/>
        <v>340.58</v>
      </c>
      <c r="AZ170" s="43">
        <f t="shared" si="349"/>
        <v>0.82</v>
      </c>
      <c r="BA170" s="43">
        <f t="shared" si="356"/>
        <v>341.4</v>
      </c>
      <c r="BB170" s="60">
        <v>334.91</v>
      </c>
      <c r="BC170" s="60">
        <v>0.81</v>
      </c>
      <c r="BD170" s="60">
        <f t="shared" si="350"/>
        <v>5.6699999999999591</v>
      </c>
      <c r="BE170" s="60">
        <f t="shared" si="350"/>
        <v>9.9999999999998979E-3</v>
      </c>
      <c r="BF170" s="60">
        <f t="shared" si="351"/>
        <v>66.98</v>
      </c>
      <c r="BG170" s="60">
        <f t="shared" si="351"/>
        <v>0.16</v>
      </c>
      <c r="BH170" s="43">
        <v>31.96</v>
      </c>
      <c r="BI170" s="43">
        <v>0</v>
      </c>
      <c r="BJ170" s="43"/>
      <c r="BK170" s="43"/>
      <c r="BL170" s="43">
        <f t="shared" si="358"/>
        <v>372.53999999999996</v>
      </c>
      <c r="BM170" s="43">
        <f t="shared" si="358"/>
        <v>0.82</v>
      </c>
      <c r="BN170" s="43">
        <f t="shared" si="376"/>
        <v>373.35999999999996</v>
      </c>
      <c r="BO170" s="43">
        <v>366.98</v>
      </c>
      <c r="BP170" s="93">
        <v>0.81</v>
      </c>
      <c r="BQ170" s="43">
        <f t="shared" si="377"/>
        <v>5.5599999999999454</v>
      </c>
      <c r="BR170" s="43">
        <f t="shared" si="377"/>
        <v>9.9999999999998979E-3</v>
      </c>
      <c r="BS170" s="43">
        <f t="shared" si="378"/>
        <v>33.36</v>
      </c>
      <c r="BT170" s="43">
        <f t="shared" si="378"/>
        <v>7.0000000000000007E-2</v>
      </c>
      <c r="BU170" s="43">
        <v>30.96</v>
      </c>
      <c r="BV170" s="43">
        <v>0</v>
      </c>
      <c r="BW170" s="43"/>
      <c r="BX170" s="43"/>
      <c r="BY170" s="43"/>
      <c r="BZ170" s="43"/>
      <c r="CA170" s="43">
        <v>403.49999999999994</v>
      </c>
      <c r="CB170" s="43">
        <v>0.82</v>
      </c>
      <c r="CC170" s="92">
        <v>443.85</v>
      </c>
      <c r="CD170" s="92">
        <v>0.94</v>
      </c>
      <c r="CE170" s="92">
        <v>37</v>
      </c>
      <c r="CF170" s="92">
        <v>0</v>
      </c>
      <c r="CG170" s="92">
        <f t="shared" si="379"/>
        <v>100.88</v>
      </c>
      <c r="CH170" s="92">
        <f t="shared" si="379"/>
        <v>0.21</v>
      </c>
      <c r="CI170" s="43"/>
      <c r="CJ170" s="43"/>
      <c r="CK170" s="43">
        <v>100.47</v>
      </c>
      <c r="CL170" s="72">
        <f>18.49-10</f>
        <v>8.4899999999999984</v>
      </c>
      <c r="CM170" s="72"/>
      <c r="CN170" s="72"/>
      <c r="CO170" s="43">
        <v>490</v>
      </c>
      <c r="CP170" s="43">
        <v>8.94</v>
      </c>
      <c r="CQ170" s="43">
        <f t="shared" si="380"/>
        <v>401.88</v>
      </c>
      <c r="CR170" s="43">
        <f t="shared" si="380"/>
        <v>33.96</v>
      </c>
      <c r="CS170" s="43">
        <f t="shared" si="381"/>
        <v>401.88</v>
      </c>
      <c r="CT170" s="43">
        <f t="shared" si="381"/>
        <v>8.94</v>
      </c>
      <c r="CU170" s="43">
        <v>411.9</v>
      </c>
      <c r="CV170" s="43">
        <f>18.49+0.01</f>
        <v>18.5</v>
      </c>
      <c r="CW170" s="43">
        <f t="shared" si="382"/>
        <v>102.98</v>
      </c>
      <c r="CX170" s="43">
        <f>ROUND(CV170*25%,2)-4.62-0.01</f>
        <v>-2.1337098754514727E-16</v>
      </c>
      <c r="CY170" s="43">
        <v>2</v>
      </c>
      <c r="CZ170" s="43">
        <f>10.01</f>
        <v>10.01</v>
      </c>
      <c r="DA170" s="43">
        <f t="shared" si="383"/>
        <v>242.45</v>
      </c>
      <c r="DB170" s="43">
        <f t="shared" si="383"/>
        <v>18.5</v>
      </c>
      <c r="DC170" s="43">
        <v>240.65</v>
      </c>
      <c r="DD170" s="43">
        <v>18.489999999999998</v>
      </c>
      <c r="DE170" s="43">
        <f t="shared" si="384"/>
        <v>1.7999999999999829</v>
      </c>
      <c r="DF170" s="43">
        <f t="shared" si="384"/>
        <v>1.0000000000001563E-2</v>
      </c>
      <c r="DG170" s="43">
        <f t="shared" si="462"/>
        <v>102.98</v>
      </c>
      <c r="DH170" s="43">
        <f t="shared" si="462"/>
        <v>2.12</v>
      </c>
      <c r="DI170" s="43">
        <f>+DG170-DE170</f>
        <v>101.18000000000002</v>
      </c>
      <c r="DJ170" s="72">
        <f>+DH170-DF170-0.11</f>
        <v>1.9999999999999984</v>
      </c>
      <c r="DK170" s="72">
        <v>13</v>
      </c>
      <c r="DL170" s="72"/>
      <c r="DM170" s="43">
        <f t="shared" si="385"/>
        <v>356.63</v>
      </c>
      <c r="DN170" s="43">
        <f t="shared" si="385"/>
        <v>20.5</v>
      </c>
      <c r="DO170" s="94">
        <v>355.79</v>
      </c>
      <c r="DP170" s="95">
        <v>18.489999999999998</v>
      </c>
      <c r="DQ170" s="60">
        <f t="shared" si="386"/>
        <v>0.84</v>
      </c>
      <c r="DR170" s="60">
        <f t="shared" si="386"/>
        <v>2.0099999999999998</v>
      </c>
      <c r="DS170" s="60">
        <f t="shared" si="387"/>
        <v>35.579000000000001</v>
      </c>
      <c r="DT170" s="60">
        <f t="shared" si="387"/>
        <v>1.8489999999999998</v>
      </c>
      <c r="DU170" s="60">
        <f t="shared" si="388"/>
        <v>34.738999999999997</v>
      </c>
      <c r="DV170" s="60">
        <f t="shared" si="388"/>
        <v>-0.16100000000000003</v>
      </c>
      <c r="DW170" s="60"/>
      <c r="DX170" s="60"/>
      <c r="DY170" s="60">
        <f t="shared" si="389"/>
        <v>34.74</v>
      </c>
      <c r="DZ170" s="60">
        <v>0</v>
      </c>
      <c r="EA170" s="60">
        <v>3</v>
      </c>
      <c r="EB170" s="60"/>
      <c r="EC170" s="43">
        <f t="shared" si="390"/>
        <v>394.37</v>
      </c>
      <c r="ED170" s="43">
        <f t="shared" si="390"/>
        <v>20.5</v>
      </c>
      <c r="EE170" s="43">
        <v>393.58</v>
      </c>
      <c r="EF170" s="43">
        <v>18.489999999999998</v>
      </c>
      <c r="EG170" s="43">
        <f t="shared" si="423"/>
        <v>99.8</v>
      </c>
      <c r="EH170" s="43">
        <f t="shared" si="423"/>
        <v>90.2</v>
      </c>
      <c r="EI170" s="43">
        <f t="shared" si="391"/>
        <v>0.79</v>
      </c>
      <c r="EJ170" s="43">
        <f t="shared" si="391"/>
        <v>2.0099999999999998</v>
      </c>
      <c r="EK170" s="43">
        <f t="shared" si="392"/>
        <v>35.78</v>
      </c>
      <c r="EL170" s="43">
        <f t="shared" si="392"/>
        <v>1.68</v>
      </c>
      <c r="EM170" s="43">
        <f t="shared" si="393"/>
        <v>34.99</v>
      </c>
      <c r="EN170" s="43">
        <f t="shared" si="393"/>
        <v>-0.32999999999999985</v>
      </c>
      <c r="EO170" s="43">
        <v>37.92</v>
      </c>
      <c r="EP170" s="43">
        <v>0</v>
      </c>
      <c r="EQ170" s="5"/>
      <c r="ER170" s="5"/>
      <c r="ES170" s="5"/>
      <c r="ET170" s="5"/>
      <c r="EU170" s="5">
        <f t="shared" si="442"/>
        <v>-17.36</v>
      </c>
      <c r="EV170" s="5">
        <f t="shared" si="442"/>
        <v>-12.01</v>
      </c>
      <c r="EW170" s="5">
        <v>414.93</v>
      </c>
      <c r="EX170" s="58">
        <v>8.49</v>
      </c>
      <c r="EY170" s="5">
        <v>500</v>
      </c>
      <c r="EZ170" s="5">
        <v>0</v>
      </c>
    </row>
    <row r="171" spans="1:160" ht="18.75" x14ac:dyDescent="0.25">
      <c r="A171" s="68">
        <v>29</v>
      </c>
      <c r="B171" s="68"/>
      <c r="C171" s="91" t="s">
        <v>380</v>
      </c>
      <c r="D171" s="67" t="s">
        <v>381</v>
      </c>
      <c r="E171" s="69"/>
      <c r="F171" s="40">
        <v>585.53</v>
      </c>
      <c r="G171" s="40">
        <v>0</v>
      </c>
      <c r="H171" s="40">
        <v>585.53</v>
      </c>
      <c r="I171" s="70">
        <v>0</v>
      </c>
      <c r="J171" s="71">
        <v>0</v>
      </c>
      <c r="K171" s="41">
        <v>0</v>
      </c>
      <c r="L171" s="41">
        <v>0</v>
      </c>
      <c r="M171" s="41">
        <f t="shared" ref="M171:M173" si="463">J171+K171+L171</f>
        <v>0</v>
      </c>
      <c r="N171" s="41">
        <v>600</v>
      </c>
      <c r="O171" s="41">
        <v>0</v>
      </c>
      <c r="P171" s="41">
        <v>0</v>
      </c>
      <c r="Q171" s="41">
        <f t="shared" ref="Q171:Q173" si="464">N171+O171+P171</f>
        <v>600</v>
      </c>
      <c r="R171" s="41">
        <f t="shared" ref="R171:R173" si="465">+Q171+M171</f>
        <v>600</v>
      </c>
      <c r="S171" s="41">
        <v>0</v>
      </c>
      <c r="T171" s="92"/>
      <c r="U171" s="92"/>
      <c r="V171" s="70">
        <f t="shared" si="459"/>
        <v>619.66999999999996</v>
      </c>
      <c r="W171" s="40">
        <f t="shared" si="460"/>
        <v>0</v>
      </c>
      <c r="X171" s="43">
        <f t="shared" si="352"/>
        <v>-19.669999999999959</v>
      </c>
      <c r="Y171" s="43">
        <f t="shared" si="352"/>
        <v>0</v>
      </c>
      <c r="Z171" s="43"/>
      <c r="AA171" s="43">
        <v>600</v>
      </c>
      <c r="AB171" s="43">
        <f t="shared" si="360"/>
        <v>600</v>
      </c>
      <c r="AC171" s="43">
        <f t="shared" si="361"/>
        <v>0</v>
      </c>
      <c r="AD171" s="43">
        <f t="shared" si="461"/>
        <v>600</v>
      </c>
      <c r="AE171" s="43">
        <f t="shared" si="461"/>
        <v>0</v>
      </c>
      <c r="AF171" s="43">
        <f t="shared" si="373"/>
        <v>0</v>
      </c>
      <c r="AG171" s="43">
        <f t="shared" si="353"/>
        <v>150</v>
      </c>
      <c r="AH171" s="43">
        <f t="shared" si="353"/>
        <v>0</v>
      </c>
      <c r="AI171" s="93">
        <f t="shared" si="354"/>
        <v>50</v>
      </c>
      <c r="AJ171" s="43">
        <f t="shared" si="354"/>
        <v>0</v>
      </c>
      <c r="AK171" s="43"/>
      <c r="AL171" s="43"/>
      <c r="AM171" s="43">
        <f t="shared" si="374"/>
        <v>150</v>
      </c>
      <c r="AN171" s="43">
        <f t="shared" si="375"/>
        <v>0</v>
      </c>
      <c r="AO171" s="43"/>
      <c r="AP171" s="43"/>
      <c r="AQ171" s="43">
        <f t="shared" si="355"/>
        <v>300</v>
      </c>
      <c r="AR171" s="43">
        <f t="shared" si="355"/>
        <v>0</v>
      </c>
      <c r="AS171" s="43"/>
      <c r="AT171" s="43"/>
      <c r="AU171" s="43">
        <f t="shared" si="424"/>
        <v>150</v>
      </c>
      <c r="AV171" s="43">
        <f>ROUND(AE171*25%,2)</f>
        <v>0</v>
      </c>
      <c r="AW171" s="43"/>
      <c r="AX171" s="43"/>
      <c r="AY171" s="43">
        <f t="shared" si="349"/>
        <v>500</v>
      </c>
      <c r="AZ171" s="43">
        <f t="shared" si="349"/>
        <v>0</v>
      </c>
      <c r="BA171" s="43">
        <f t="shared" si="356"/>
        <v>500</v>
      </c>
      <c r="BB171" s="60">
        <v>552</v>
      </c>
      <c r="BC171" s="60"/>
      <c r="BD171" s="60">
        <f t="shared" si="350"/>
        <v>-52</v>
      </c>
      <c r="BE171" s="60">
        <f t="shared" si="350"/>
        <v>0</v>
      </c>
      <c r="BF171" s="60">
        <f t="shared" si="351"/>
        <v>110.4</v>
      </c>
      <c r="BG171" s="60">
        <f t="shared" si="351"/>
        <v>0</v>
      </c>
      <c r="BH171" s="43">
        <v>62.09</v>
      </c>
      <c r="BI171" s="43">
        <v>0</v>
      </c>
      <c r="BJ171" s="43"/>
      <c r="BK171" s="43"/>
      <c r="BL171" s="43">
        <f t="shared" si="358"/>
        <v>562.09</v>
      </c>
      <c r="BM171" s="43">
        <f t="shared" si="358"/>
        <v>0</v>
      </c>
      <c r="BN171" s="43">
        <f t="shared" si="376"/>
        <v>562.09</v>
      </c>
      <c r="BO171" s="43">
        <v>552.11</v>
      </c>
      <c r="BP171" s="93"/>
      <c r="BQ171" s="43">
        <f t="shared" si="377"/>
        <v>9.9800000000000182</v>
      </c>
      <c r="BR171" s="43">
        <f t="shared" si="377"/>
        <v>0</v>
      </c>
      <c r="BS171" s="43">
        <f t="shared" si="378"/>
        <v>50.19</v>
      </c>
      <c r="BT171" s="43">
        <f t="shared" si="378"/>
        <v>0</v>
      </c>
      <c r="BU171" s="43">
        <f t="shared" ref="BU171:BU172" si="466">ROUND(BS171-BQ171,2)</f>
        <v>40.21</v>
      </c>
      <c r="BV171" s="43">
        <v>0</v>
      </c>
      <c r="BW171" s="43">
        <v>57</v>
      </c>
      <c r="BX171" s="43"/>
      <c r="BY171" s="43"/>
      <c r="BZ171" s="43"/>
      <c r="CA171" s="43">
        <v>659.30000000000007</v>
      </c>
      <c r="CB171" s="43">
        <v>0</v>
      </c>
      <c r="CC171" s="92">
        <v>725.23</v>
      </c>
      <c r="CD171" s="92">
        <v>0</v>
      </c>
      <c r="CE171" s="92">
        <v>60</v>
      </c>
      <c r="CF171" s="92">
        <v>0</v>
      </c>
      <c r="CG171" s="92">
        <f t="shared" si="379"/>
        <v>164.83</v>
      </c>
      <c r="CH171" s="92">
        <f t="shared" si="379"/>
        <v>0</v>
      </c>
      <c r="CI171" s="43"/>
      <c r="CJ171" s="43"/>
      <c r="CK171" s="43">
        <v>231</v>
      </c>
      <c r="CL171" s="43">
        <v>30</v>
      </c>
      <c r="CM171" s="43"/>
      <c r="CN171" s="43"/>
      <c r="CO171" s="43">
        <v>650</v>
      </c>
      <c r="CP171" s="119"/>
      <c r="CQ171" s="43">
        <f t="shared" si="380"/>
        <v>924</v>
      </c>
      <c r="CR171" s="43">
        <f t="shared" si="380"/>
        <v>120</v>
      </c>
      <c r="CS171" s="43">
        <f t="shared" si="381"/>
        <v>650</v>
      </c>
      <c r="CT171" s="43">
        <f>IF(CP171&lt;CR171,CP171,CR171)+30</f>
        <v>30</v>
      </c>
      <c r="CU171" s="43">
        <f t="shared" ref="CU171:CV173" si="467">IF(CQ171&lt;CS171,CQ171,CS171)</f>
        <v>650</v>
      </c>
      <c r="CV171" s="43">
        <f>IF(CR171&lt;CT171,CR171,CT171)+30</f>
        <v>60</v>
      </c>
      <c r="CW171" s="43">
        <f t="shared" si="382"/>
        <v>162.5</v>
      </c>
      <c r="CX171" s="43">
        <f>ROUND(CV171*25%,2)-10-5</f>
        <v>0</v>
      </c>
      <c r="CY171" s="43"/>
      <c r="CZ171" s="43"/>
      <c r="DA171" s="43">
        <f t="shared" si="383"/>
        <v>453.5</v>
      </c>
      <c r="DB171" s="43">
        <f t="shared" si="383"/>
        <v>30</v>
      </c>
      <c r="DC171" s="43">
        <v>475.5</v>
      </c>
      <c r="DD171" s="43">
        <v>29.75</v>
      </c>
      <c r="DE171" s="43">
        <f t="shared" si="384"/>
        <v>-22</v>
      </c>
      <c r="DF171" s="43">
        <f t="shared" si="384"/>
        <v>0.25</v>
      </c>
      <c r="DG171" s="43">
        <f t="shared" si="462"/>
        <v>162.5</v>
      </c>
      <c r="DH171" s="43">
        <f t="shared" si="462"/>
        <v>8.5</v>
      </c>
      <c r="DI171" s="43">
        <f>+DG171-DE171</f>
        <v>184.5</v>
      </c>
      <c r="DJ171" s="43">
        <f>+DH171-DF171-4.25-4</f>
        <v>0</v>
      </c>
      <c r="DK171" s="43"/>
      <c r="DL171" s="43"/>
      <c r="DM171" s="43">
        <f t="shared" si="385"/>
        <v>638</v>
      </c>
      <c r="DN171" s="43">
        <f t="shared" si="385"/>
        <v>30</v>
      </c>
      <c r="DO171" s="94">
        <v>632.48</v>
      </c>
      <c r="DP171" s="94">
        <v>29.75</v>
      </c>
      <c r="DQ171" s="60">
        <f t="shared" si="386"/>
        <v>5.52</v>
      </c>
      <c r="DR171" s="60">
        <f t="shared" si="386"/>
        <v>0.25</v>
      </c>
      <c r="DS171" s="60">
        <f t="shared" si="387"/>
        <v>63.248000000000005</v>
      </c>
      <c r="DT171" s="60">
        <f t="shared" si="387"/>
        <v>2.9750000000000001</v>
      </c>
      <c r="DU171" s="60">
        <f t="shared" si="388"/>
        <v>57.728000000000009</v>
      </c>
      <c r="DV171" s="60">
        <f t="shared" si="388"/>
        <v>2.7250000000000001</v>
      </c>
      <c r="DW171" s="60">
        <v>59</v>
      </c>
      <c r="DX171" s="60"/>
      <c r="DY171" s="60">
        <f>ROUND(DU171+DW171,2)-50</f>
        <v>66.73</v>
      </c>
      <c r="DZ171" s="60">
        <f>ROUND(DV171+DX171,2)-2.73</f>
        <v>0</v>
      </c>
      <c r="EA171" s="60"/>
      <c r="EB171" s="60"/>
      <c r="EC171" s="43">
        <f t="shared" si="390"/>
        <v>704.73</v>
      </c>
      <c r="ED171" s="43">
        <f t="shared" si="390"/>
        <v>30</v>
      </c>
      <c r="EE171" s="43">
        <v>693.85</v>
      </c>
      <c r="EF171" s="43">
        <v>29.75</v>
      </c>
      <c r="EG171" s="43">
        <f t="shared" si="423"/>
        <v>98.46</v>
      </c>
      <c r="EH171" s="43">
        <f t="shared" si="423"/>
        <v>99.17</v>
      </c>
      <c r="EI171" s="43">
        <f t="shared" si="391"/>
        <v>10.88</v>
      </c>
      <c r="EJ171" s="43">
        <f t="shared" si="391"/>
        <v>0.25</v>
      </c>
      <c r="EK171" s="43">
        <f t="shared" si="392"/>
        <v>63.08</v>
      </c>
      <c r="EL171" s="43">
        <f t="shared" si="392"/>
        <v>2.7</v>
      </c>
      <c r="EM171" s="43">
        <f t="shared" si="393"/>
        <v>52.199999999999996</v>
      </c>
      <c r="EN171" s="43">
        <f t="shared" si="393"/>
        <v>2.4500000000000002</v>
      </c>
      <c r="EO171" s="43">
        <v>52.54</v>
      </c>
      <c r="EP171" s="43">
        <v>0</v>
      </c>
      <c r="EQ171" s="5"/>
      <c r="ER171" s="5"/>
      <c r="ES171" s="48">
        <v>116.8</v>
      </c>
      <c r="ET171" s="48">
        <v>0</v>
      </c>
      <c r="EU171" s="5">
        <f t="shared" si="442"/>
        <v>52.729999999999983</v>
      </c>
      <c r="EV171" s="5">
        <f t="shared" si="442"/>
        <v>4</v>
      </c>
      <c r="EW171" s="58">
        <v>810</v>
      </c>
      <c r="EX171" s="58">
        <v>34</v>
      </c>
      <c r="EY171" s="5">
        <v>1000</v>
      </c>
      <c r="EZ171" s="5">
        <v>0</v>
      </c>
    </row>
    <row r="172" spans="1:160" ht="18.75" x14ac:dyDescent="0.25">
      <c r="A172" s="37">
        <v>30</v>
      </c>
      <c r="B172" s="37"/>
      <c r="C172" s="91" t="s">
        <v>380</v>
      </c>
      <c r="D172" s="38" t="s">
        <v>382</v>
      </c>
      <c r="E172" s="39"/>
      <c r="F172" s="40">
        <v>120.75</v>
      </c>
      <c r="G172" s="40">
        <v>0</v>
      </c>
      <c r="H172" s="40">
        <v>120.75</v>
      </c>
      <c r="I172" s="40">
        <v>0</v>
      </c>
      <c r="J172" s="41">
        <v>106</v>
      </c>
      <c r="K172" s="41">
        <v>0</v>
      </c>
      <c r="L172" s="41">
        <v>0</v>
      </c>
      <c r="M172" s="41">
        <f t="shared" si="463"/>
        <v>106</v>
      </c>
      <c r="N172" s="41">
        <v>35</v>
      </c>
      <c r="O172" s="41">
        <v>0</v>
      </c>
      <c r="P172" s="41">
        <v>0</v>
      </c>
      <c r="Q172" s="41">
        <f t="shared" si="464"/>
        <v>35</v>
      </c>
      <c r="R172" s="41">
        <f t="shared" si="465"/>
        <v>141</v>
      </c>
      <c r="S172" s="41">
        <v>0</v>
      </c>
      <c r="T172" s="92"/>
      <c r="U172" s="92"/>
      <c r="V172" s="70">
        <f t="shared" si="459"/>
        <v>127.79</v>
      </c>
      <c r="W172" s="40">
        <f t="shared" si="460"/>
        <v>0</v>
      </c>
      <c r="X172" s="43">
        <f t="shared" si="352"/>
        <v>13.209999999999994</v>
      </c>
      <c r="Y172" s="43">
        <f t="shared" si="352"/>
        <v>0</v>
      </c>
      <c r="Z172" s="43">
        <v>97.79</v>
      </c>
      <c r="AA172" s="43">
        <v>30</v>
      </c>
      <c r="AB172" s="43">
        <f t="shared" si="360"/>
        <v>127.79</v>
      </c>
      <c r="AC172" s="43">
        <f t="shared" si="361"/>
        <v>0</v>
      </c>
      <c r="AD172" s="43">
        <f t="shared" si="461"/>
        <v>127.79</v>
      </c>
      <c r="AE172" s="43">
        <f t="shared" si="461"/>
        <v>0</v>
      </c>
      <c r="AF172" s="43">
        <f t="shared" si="373"/>
        <v>0</v>
      </c>
      <c r="AG172" s="43">
        <f t="shared" si="353"/>
        <v>32</v>
      </c>
      <c r="AH172" s="43">
        <f t="shared" si="353"/>
        <v>0</v>
      </c>
      <c r="AI172" s="93">
        <f t="shared" si="354"/>
        <v>11</v>
      </c>
      <c r="AJ172" s="43">
        <f t="shared" si="354"/>
        <v>0</v>
      </c>
      <c r="AK172" s="43"/>
      <c r="AL172" s="43"/>
      <c r="AM172" s="43">
        <f t="shared" si="374"/>
        <v>31.95</v>
      </c>
      <c r="AN172" s="43">
        <f t="shared" si="375"/>
        <v>0</v>
      </c>
      <c r="AO172" s="43"/>
      <c r="AP172" s="43"/>
      <c r="AQ172" s="43">
        <f t="shared" si="355"/>
        <v>63.95</v>
      </c>
      <c r="AR172" s="43">
        <f t="shared" si="355"/>
        <v>0</v>
      </c>
      <c r="AS172" s="43"/>
      <c r="AT172" s="43"/>
      <c r="AU172" s="43">
        <f t="shared" si="424"/>
        <v>31.95</v>
      </c>
      <c r="AV172" s="43">
        <f t="shared" si="424"/>
        <v>0</v>
      </c>
      <c r="AW172" s="43"/>
      <c r="AX172" s="43"/>
      <c r="AY172" s="43">
        <f t="shared" si="349"/>
        <v>106.9</v>
      </c>
      <c r="AZ172" s="43">
        <f t="shared" si="349"/>
        <v>0</v>
      </c>
      <c r="BA172" s="43">
        <f t="shared" si="356"/>
        <v>106.9</v>
      </c>
      <c r="BB172" s="60">
        <v>89.5</v>
      </c>
      <c r="BC172" s="60"/>
      <c r="BD172" s="60">
        <f t="shared" si="350"/>
        <v>17.400000000000006</v>
      </c>
      <c r="BE172" s="60">
        <f t="shared" si="350"/>
        <v>0</v>
      </c>
      <c r="BF172" s="60">
        <f t="shared" si="351"/>
        <v>17.899999999999999</v>
      </c>
      <c r="BG172" s="60">
        <f t="shared" si="351"/>
        <v>0</v>
      </c>
      <c r="BH172" s="43">
        <v>0.25</v>
      </c>
      <c r="BI172" s="43">
        <v>0</v>
      </c>
      <c r="BJ172" s="43"/>
      <c r="BK172" s="43"/>
      <c r="BL172" s="43">
        <f t="shared" si="358"/>
        <v>107.15</v>
      </c>
      <c r="BM172" s="43">
        <f t="shared" si="358"/>
        <v>0</v>
      </c>
      <c r="BN172" s="43">
        <f t="shared" si="376"/>
        <v>107.15</v>
      </c>
      <c r="BO172" s="43">
        <v>93.78</v>
      </c>
      <c r="BP172" s="93"/>
      <c r="BQ172" s="43">
        <f t="shared" si="377"/>
        <v>13.370000000000005</v>
      </c>
      <c r="BR172" s="43">
        <f t="shared" si="377"/>
        <v>0</v>
      </c>
      <c r="BS172" s="43">
        <f t="shared" si="378"/>
        <v>8.5299999999999994</v>
      </c>
      <c r="BT172" s="43">
        <f t="shared" si="378"/>
        <v>0</v>
      </c>
      <c r="BU172" s="43">
        <f t="shared" si="466"/>
        <v>-4.84</v>
      </c>
      <c r="BV172" s="43">
        <v>0</v>
      </c>
      <c r="BW172" s="43"/>
      <c r="BX172" s="43"/>
      <c r="BY172" s="43"/>
      <c r="BZ172" s="43"/>
      <c r="CA172" s="43">
        <v>102.31</v>
      </c>
      <c r="CB172" s="43">
        <v>0</v>
      </c>
      <c r="CC172" s="92">
        <v>112.54</v>
      </c>
      <c r="CD172" s="92">
        <v>0</v>
      </c>
      <c r="CE172" s="92">
        <v>9</v>
      </c>
      <c r="CF172" s="92">
        <v>0</v>
      </c>
      <c r="CG172" s="92">
        <f t="shared" si="379"/>
        <v>25.58</v>
      </c>
      <c r="CH172" s="92">
        <f t="shared" si="379"/>
        <v>0</v>
      </c>
      <c r="CI172" s="43"/>
      <c r="CJ172" s="43"/>
      <c r="CK172" s="43">
        <v>30</v>
      </c>
      <c r="CL172" s="43">
        <v>0</v>
      </c>
      <c r="CM172" s="43"/>
      <c r="CN172" s="43"/>
      <c r="CO172" s="43">
        <v>115</v>
      </c>
      <c r="CP172" s="43"/>
      <c r="CQ172" s="43">
        <f t="shared" si="380"/>
        <v>120</v>
      </c>
      <c r="CR172" s="43">
        <f t="shared" si="380"/>
        <v>0</v>
      </c>
      <c r="CS172" s="43">
        <f t="shared" si="381"/>
        <v>115</v>
      </c>
      <c r="CT172" s="43">
        <f t="shared" si="381"/>
        <v>0</v>
      </c>
      <c r="CU172" s="43">
        <f t="shared" si="467"/>
        <v>115</v>
      </c>
      <c r="CV172" s="43">
        <f t="shared" si="467"/>
        <v>0</v>
      </c>
      <c r="CW172" s="43">
        <f t="shared" si="382"/>
        <v>28.75</v>
      </c>
      <c r="CX172" s="43">
        <f t="shared" si="382"/>
        <v>0</v>
      </c>
      <c r="CY172" s="43"/>
      <c r="CZ172" s="43"/>
      <c r="DA172" s="43">
        <f t="shared" si="383"/>
        <v>67.75</v>
      </c>
      <c r="DB172" s="43">
        <f t="shared" si="383"/>
        <v>0</v>
      </c>
      <c r="DC172" s="43">
        <v>68.599999999999994</v>
      </c>
      <c r="DD172" s="43">
        <v>0</v>
      </c>
      <c r="DE172" s="43">
        <f t="shared" si="384"/>
        <v>-0.84999999999999432</v>
      </c>
      <c r="DF172" s="43">
        <f t="shared" si="384"/>
        <v>0</v>
      </c>
      <c r="DG172" s="43">
        <f t="shared" si="462"/>
        <v>28.75</v>
      </c>
      <c r="DH172" s="43">
        <f t="shared" si="462"/>
        <v>0</v>
      </c>
      <c r="DI172" s="43">
        <f>+DG172-DE172</f>
        <v>29.599999999999994</v>
      </c>
      <c r="DJ172" s="43">
        <f>+DH172-DF172</f>
        <v>0</v>
      </c>
      <c r="DK172" s="43"/>
      <c r="DL172" s="43"/>
      <c r="DM172" s="43">
        <f t="shared" si="385"/>
        <v>97.35</v>
      </c>
      <c r="DN172" s="43">
        <f t="shared" si="385"/>
        <v>0</v>
      </c>
      <c r="DO172" s="94">
        <v>88.35</v>
      </c>
      <c r="DP172" s="114">
        <v>0</v>
      </c>
      <c r="DQ172" s="60">
        <f t="shared" si="386"/>
        <v>9</v>
      </c>
      <c r="DR172" s="60">
        <f t="shared" si="386"/>
        <v>0</v>
      </c>
      <c r="DS172" s="60">
        <f t="shared" si="387"/>
        <v>8.8349999999999991</v>
      </c>
      <c r="DT172" s="60">
        <f t="shared" si="387"/>
        <v>0</v>
      </c>
      <c r="DU172" s="60">
        <f t="shared" si="388"/>
        <v>-0.16500000000000092</v>
      </c>
      <c r="DV172" s="60">
        <f t="shared" si="388"/>
        <v>0</v>
      </c>
      <c r="DW172" s="60"/>
      <c r="DX172" s="60"/>
      <c r="DY172" s="60">
        <f t="shared" si="389"/>
        <v>-0.17</v>
      </c>
      <c r="DZ172" s="60">
        <f t="shared" si="389"/>
        <v>0</v>
      </c>
      <c r="EA172" s="60"/>
      <c r="EB172" s="60"/>
      <c r="EC172" s="43">
        <f t="shared" si="390"/>
        <v>97.179999999999993</v>
      </c>
      <c r="ED172" s="43">
        <f t="shared" si="390"/>
        <v>0</v>
      </c>
      <c r="EE172" s="43">
        <v>97.35</v>
      </c>
      <c r="EF172" s="43"/>
      <c r="EG172" s="43">
        <f t="shared" si="423"/>
        <v>100.17</v>
      </c>
      <c r="EH172" s="43" t="e">
        <f t="shared" si="423"/>
        <v>#DIV/0!</v>
      </c>
      <c r="EI172" s="43">
        <f t="shared" si="391"/>
        <v>-0.17</v>
      </c>
      <c r="EJ172" s="43">
        <f t="shared" si="391"/>
        <v>0</v>
      </c>
      <c r="EK172" s="43">
        <f t="shared" si="392"/>
        <v>8.85</v>
      </c>
      <c r="EL172" s="43">
        <f t="shared" si="392"/>
        <v>0</v>
      </c>
      <c r="EM172" s="43">
        <f t="shared" si="393"/>
        <v>9.02</v>
      </c>
      <c r="EN172" s="43">
        <f t="shared" si="393"/>
        <v>0</v>
      </c>
      <c r="EO172" s="43">
        <v>0.17</v>
      </c>
      <c r="EP172" s="43">
        <v>0</v>
      </c>
      <c r="EQ172" s="5"/>
      <c r="ER172" s="5"/>
      <c r="ES172" s="5"/>
      <c r="ET172" s="5"/>
      <c r="EU172" s="5">
        <f t="shared" si="442"/>
        <v>17.650000000000006</v>
      </c>
      <c r="EV172" s="5">
        <f t="shared" si="442"/>
        <v>0</v>
      </c>
      <c r="EW172" s="58">
        <f>28.75+86.25</f>
        <v>115</v>
      </c>
      <c r="EY172" s="58">
        <f>28.75+86.25</f>
        <v>115</v>
      </c>
    </row>
    <row r="173" spans="1:160" ht="18.75" x14ac:dyDescent="0.25">
      <c r="A173" s="37">
        <v>31</v>
      </c>
      <c r="B173" s="37"/>
      <c r="C173" s="91" t="s">
        <v>380</v>
      </c>
      <c r="D173" s="38" t="s">
        <v>383</v>
      </c>
      <c r="E173" s="39"/>
      <c r="F173" s="40">
        <v>0</v>
      </c>
      <c r="G173" s="40">
        <v>0</v>
      </c>
      <c r="H173" s="40">
        <v>0</v>
      </c>
      <c r="I173" s="40">
        <v>0</v>
      </c>
      <c r="J173" s="41">
        <v>0</v>
      </c>
      <c r="K173" s="41">
        <v>0</v>
      </c>
      <c r="L173" s="41">
        <v>0</v>
      </c>
      <c r="M173" s="41">
        <f t="shared" si="463"/>
        <v>0</v>
      </c>
      <c r="N173" s="41">
        <v>0</v>
      </c>
      <c r="O173" s="41">
        <v>0</v>
      </c>
      <c r="P173" s="41"/>
      <c r="Q173" s="41">
        <f t="shared" si="464"/>
        <v>0</v>
      </c>
      <c r="R173" s="41">
        <f t="shared" si="465"/>
        <v>0</v>
      </c>
      <c r="S173" s="41">
        <v>0</v>
      </c>
      <c r="T173" s="92"/>
      <c r="U173" s="92"/>
      <c r="V173" s="70">
        <f t="shared" si="459"/>
        <v>0</v>
      </c>
      <c r="W173" s="40">
        <f t="shared" si="460"/>
        <v>0</v>
      </c>
      <c r="X173" s="43">
        <f t="shared" si="352"/>
        <v>0</v>
      </c>
      <c r="Y173" s="43">
        <f t="shared" si="352"/>
        <v>0</v>
      </c>
      <c r="Z173" s="43">
        <v>0</v>
      </c>
      <c r="AA173" s="43"/>
      <c r="AB173" s="43">
        <f t="shared" si="360"/>
        <v>0</v>
      </c>
      <c r="AC173" s="43">
        <f t="shared" si="361"/>
        <v>0</v>
      </c>
      <c r="AD173" s="43">
        <f t="shared" si="461"/>
        <v>0</v>
      </c>
      <c r="AE173" s="43">
        <f t="shared" si="461"/>
        <v>0</v>
      </c>
      <c r="AF173" s="43">
        <f t="shared" si="373"/>
        <v>0</v>
      </c>
      <c r="AG173" s="43">
        <f t="shared" si="353"/>
        <v>0</v>
      </c>
      <c r="AH173" s="43">
        <f t="shared" si="353"/>
        <v>0</v>
      </c>
      <c r="AI173" s="93">
        <f t="shared" si="354"/>
        <v>0</v>
      </c>
      <c r="AJ173" s="43">
        <f t="shared" si="354"/>
        <v>0</v>
      </c>
      <c r="AK173" s="43"/>
      <c r="AL173" s="43"/>
      <c r="AM173" s="43">
        <f t="shared" si="374"/>
        <v>0</v>
      </c>
      <c r="AN173" s="43">
        <f t="shared" si="375"/>
        <v>0</v>
      </c>
      <c r="AO173" s="43"/>
      <c r="AP173" s="43"/>
      <c r="AQ173" s="43">
        <f t="shared" si="355"/>
        <v>0</v>
      </c>
      <c r="AR173" s="43">
        <f t="shared" si="355"/>
        <v>0</v>
      </c>
      <c r="AS173" s="43"/>
      <c r="AT173" s="43"/>
      <c r="AU173" s="43">
        <f t="shared" si="424"/>
        <v>0</v>
      </c>
      <c r="AV173" s="43">
        <f t="shared" si="424"/>
        <v>0</v>
      </c>
      <c r="AW173" s="43"/>
      <c r="AX173" s="43"/>
      <c r="AY173" s="43">
        <f t="shared" si="349"/>
        <v>0</v>
      </c>
      <c r="AZ173" s="43">
        <f t="shared" si="349"/>
        <v>0</v>
      </c>
      <c r="BA173" s="43">
        <f t="shared" si="356"/>
        <v>0</v>
      </c>
      <c r="BB173" s="60">
        <v>0</v>
      </c>
      <c r="BC173" s="60"/>
      <c r="BD173" s="60">
        <f t="shared" si="350"/>
        <v>0</v>
      </c>
      <c r="BE173" s="60">
        <f t="shared" si="350"/>
        <v>0</v>
      </c>
      <c r="BF173" s="60">
        <f t="shared" si="351"/>
        <v>0</v>
      </c>
      <c r="BG173" s="60">
        <f t="shared" si="351"/>
        <v>0</v>
      </c>
      <c r="BH173" s="43">
        <v>0</v>
      </c>
      <c r="BI173" s="43">
        <v>0</v>
      </c>
      <c r="BJ173" s="43"/>
      <c r="BK173" s="43"/>
      <c r="BL173" s="43">
        <f t="shared" si="358"/>
        <v>0</v>
      </c>
      <c r="BM173" s="43">
        <f t="shared" si="358"/>
        <v>0</v>
      </c>
      <c r="BN173" s="43">
        <f t="shared" si="376"/>
        <v>0</v>
      </c>
      <c r="BO173" s="43">
        <v>0</v>
      </c>
      <c r="BP173" s="93"/>
      <c r="BQ173" s="43">
        <f t="shared" si="377"/>
        <v>0</v>
      </c>
      <c r="BR173" s="43">
        <f t="shared" si="377"/>
        <v>0</v>
      </c>
      <c r="BS173" s="43">
        <f t="shared" si="378"/>
        <v>0</v>
      </c>
      <c r="BT173" s="43">
        <f t="shared" si="378"/>
        <v>0</v>
      </c>
      <c r="BU173" s="43">
        <f>ROUND(BS173-BQ173,2)</f>
        <v>0</v>
      </c>
      <c r="BV173" s="43">
        <v>0</v>
      </c>
      <c r="BW173" s="43"/>
      <c r="BX173" s="43"/>
      <c r="BY173" s="43"/>
      <c r="BZ173" s="43"/>
      <c r="CA173" s="43">
        <v>0</v>
      </c>
      <c r="CB173" s="43">
        <v>0</v>
      </c>
      <c r="CC173" s="92">
        <v>0</v>
      </c>
      <c r="CD173" s="92">
        <v>0</v>
      </c>
      <c r="CE173" s="92">
        <v>0</v>
      </c>
      <c r="CF173" s="92">
        <v>0</v>
      </c>
      <c r="CG173" s="92">
        <f t="shared" si="379"/>
        <v>0</v>
      </c>
      <c r="CH173" s="92">
        <f t="shared" si="379"/>
        <v>0</v>
      </c>
      <c r="CI173" s="43"/>
      <c r="CJ173" s="43"/>
      <c r="CK173" s="43">
        <v>0</v>
      </c>
      <c r="CL173" s="43">
        <v>0</v>
      </c>
      <c r="CM173" s="43"/>
      <c r="CN173" s="43"/>
      <c r="CO173" s="43"/>
      <c r="CP173" s="43"/>
      <c r="CQ173" s="43">
        <f t="shared" si="380"/>
        <v>0</v>
      </c>
      <c r="CR173" s="43">
        <f t="shared" si="380"/>
        <v>0</v>
      </c>
      <c r="CS173" s="43">
        <f t="shared" si="381"/>
        <v>0</v>
      </c>
      <c r="CT173" s="43">
        <f t="shared" si="381"/>
        <v>0</v>
      </c>
      <c r="CU173" s="43">
        <f t="shared" si="467"/>
        <v>0</v>
      </c>
      <c r="CV173" s="43">
        <f t="shared" si="467"/>
        <v>0</v>
      </c>
      <c r="CW173" s="43">
        <f t="shared" si="382"/>
        <v>0</v>
      </c>
      <c r="CX173" s="43">
        <f t="shared" si="382"/>
        <v>0</v>
      </c>
      <c r="CY173" s="43"/>
      <c r="CZ173" s="43"/>
      <c r="DA173" s="43">
        <f t="shared" si="383"/>
        <v>0</v>
      </c>
      <c r="DB173" s="43">
        <f t="shared" si="383"/>
        <v>0</v>
      </c>
      <c r="DC173" s="43">
        <v>0</v>
      </c>
      <c r="DD173" s="43">
        <v>0</v>
      </c>
      <c r="DE173" s="43">
        <f t="shared" si="384"/>
        <v>0</v>
      </c>
      <c r="DF173" s="43">
        <f t="shared" si="384"/>
        <v>0</v>
      </c>
      <c r="DG173" s="43">
        <f t="shared" si="462"/>
        <v>0</v>
      </c>
      <c r="DH173" s="43">
        <f t="shared" si="462"/>
        <v>0</v>
      </c>
      <c r="DI173" s="43">
        <f>+DG173-DE173</f>
        <v>0</v>
      </c>
      <c r="DJ173" s="43">
        <f>+DH173-DF173</f>
        <v>0</v>
      </c>
      <c r="DK173" s="43"/>
      <c r="DL173" s="43"/>
      <c r="DM173" s="43">
        <f t="shared" si="385"/>
        <v>0</v>
      </c>
      <c r="DN173" s="43">
        <f t="shared" si="385"/>
        <v>0</v>
      </c>
      <c r="DO173" s="120">
        <v>0</v>
      </c>
      <c r="DP173" s="116">
        <v>0</v>
      </c>
      <c r="DQ173" s="60">
        <f t="shared" si="386"/>
        <v>0</v>
      </c>
      <c r="DR173" s="60">
        <f t="shared" si="386"/>
        <v>0</v>
      </c>
      <c r="DS173" s="60">
        <f t="shared" si="387"/>
        <v>0</v>
      </c>
      <c r="DT173" s="60">
        <f t="shared" si="387"/>
        <v>0</v>
      </c>
      <c r="DU173" s="60">
        <f t="shared" si="388"/>
        <v>0</v>
      </c>
      <c r="DV173" s="60">
        <f t="shared" si="388"/>
        <v>0</v>
      </c>
      <c r="DW173" s="60"/>
      <c r="DX173" s="60"/>
      <c r="DY173" s="60">
        <f t="shared" si="389"/>
        <v>0</v>
      </c>
      <c r="DZ173" s="60">
        <f t="shared" si="389"/>
        <v>0</v>
      </c>
      <c r="EA173" s="60"/>
      <c r="EB173" s="60"/>
      <c r="EC173" s="43">
        <f t="shared" si="390"/>
        <v>0</v>
      </c>
      <c r="ED173" s="43">
        <f t="shared" si="390"/>
        <v>0</v>
      </c>
      <c r="EE173" s="43"/>
      <c r="EF173" s="43"/>
      <c r="EG173" s="43" t="e">
        <f t="shared" si="423"/>
        <v>#DIV/0!</v>
      </c>
      <c r="EH173" s="43" t="e">
        <f t="shared" si="423"/>
        <v>#DIV/0!</v>
      </c>
      <c r="EI173" s="43">
        <f t="shared" si="391"/>
        <v>0</v>
      </c>
      <c r="EJ173" s="43">
        <f t="shared" si="391"/>
        <v>0</v>
      </c>
      <c r="EK173" s="43">
        <f t="shared" si="392"/>
        <v>0</v>
      </c>
      <c r="EL173" s="43">
        <f t="shared" si="392"/>
        <v>0</v>
      </c>
      <c r="EM173" s="43">
        <f t="shared" si="393"/>
        <v>0</v>
      </c>
      <c r="EN173" s="43">
        <f t="shared" si="393"/>
        <v>0</v>
      </c>
      <c r="EO173" s="43">
        <v>0</v>
      </c>
      <c r="EP173" s="43">
        <v>0</v>
      </c>
      <c r="EQ173" s="5"/>
      <c r="ER173" s="5"/>
      <c r="ES173" s="5"/>
      <c r="ET173" s="5"/>
      <c r="EU173" s="5">
        <f t="shared" si="442"/>
        <v>0</v>
      </c>
      <c r="EV173" s="5">
        <f t="shared" si="442"/>
        <v>0</v>
      </c>
    </row>
    <row r="174" spans="1:160" ht="18.75" x14ac:dyDescent="0.25">
      <c r="A174" s="68"/>
      <c r="B174" s="68" t="s">
        <v>384</v>
      </c>
      <c r="C174" s="91" t="s">
        <v>380</v>
      </c>
      <c r="D174" s="67" t="s">
        <v>381</v>
      </c>
      <c r="E174" s="69" t="s">
        <v>385</v>
      </c>
      <c r="F174" s="70">
        <v>706.28</v>
      </c>
      <c r="G174" s="70">
        <v>0</v>
      </c>
      <c r="H174" s="70">
        <v>706.28</v>
      </c>
      <c r="I174" s="70">
        <v>0</v>
      </c>
      <c r="J174" s="71">
        <f t="shared" ref="J174:AA174" si="468">+J171+J172+J173</f>
        <v>106</v>
      </c>
      <c r="K174" s="71">
        <f t="shared" si="468"/>
        <v>0</v>
      </c>
      <c r="L174" s="71">
        <f t="shared" si="468"/>
        <v>0</v>
      </c>
      <c r="M174" s="71">
        <f t="shared" si="468"/>
        <v>106</v>
      </c>
      <c r="N174" s="71">
        <f t="shared" si="468"/>
        <v>635</v>
      </c>
      <c r="O174" s="71">
        <f t="shared" si="468"/>
        <v>0</v>
      </c>
      <c r="P174" s="71">
        <f t="shared" si="468"/>
        <v>0</v>
      </c>
      <c r="Q174" s="71">
        <f t="shared" si="468"/>
        <v>635</v>
      </c>
      <c r="R174" s="71">
        <f t="shared" si="468"/>
        <v>741</v>
      </c>
      <c r="S174" s="71">
        <f t="shared" si="468"/>
        <v>0</v>
      </c>
      <c r="T174" s="71">
        <f t="shared" si="468"/>
        <v>0</v>
      </c>
      <c r="U174" s="71">
        <f t="shared" si="468"/>
        <v>0</v>
      </c>
      <c r="V174" s="71">
        <f t="shared" si="468"/>
        <v>747.45999999999992</v>
      </c>
      <c r="W174" s="71">
        <f t="shared" si="468"/>
        <v>0</v>
      </c>
      <c r="X174" s="71">
        <f t="shared" si="468"/>
        <v>-6.4599999999999653</v>
      </c>
      <c r="Y174" s="71">
        <f t="shared" si="468"/>
        <v>0</v>
      </c>
      <c r="Z174" s="71">
        <f t="shared" si="468"/>
        <v>97.79</v>
      </c>
      <c r="AA174" s="71">
        <f t="shared" si="468"/>
        <v>630</v>
      </c>
      <c r="AB174" s="70">
        <f t="shared" si="360"/>
        <v>727.79</v>
      </c>
      <c r="AC174" s="43">
        <f t="shared" si="361"/>
        <v>0</v>
      </c>
      <c r="AD174" s="70">
        <f t="shared" ref="AD174:CO174" si="469">+AD171+AD172+AD173</f>
        <v>727.79</v>
      </c>
      <c r="AE174" s="70">
        <f t="shared" si="469"/>
        <v>0</v>
      </c>
      <c r="AF174" s="70">
        <f t="shared" si="469"/>
        <v>0</v>
      </c>
      <c r="AG174" s="70">
        <f t="shared" si="469"/>
        <v>182</v>
      </c>
      <c r="AH174" s="70">
        <f t="shared" si="469"/>
        <v>0</v>
      </c>
      <c r="AI174" s="96">
        <f t="shared" si="469"/>
        <v>61</v>
      </c>
      <c r="AJ174" s="70">
        <f t="shared" si="469"/>
        <v>0</v>
      </c>
      <c r="AK174" s="70">
        <f t="shared" si="469"/>
        <v>0</v>
      </c>
      <c r="AL174" s="70">
        <f t="shared" si="469"/>
        <v>0</v>
      </c>
      <c r="AM174" s="70">
        <f t="shared" si="469"/>
        <v>181.95</v>
      </c>
      <c r="AN174" s="70">
        <f t="shared" si="469"/>
        <v>0</v>
      </c>
      <c r="AO174" s="70">
        <f t="shared" si="469"/>
        <v>0</v>
      </c>
      <c r="AP174" s="70">
        <f t="shared" si="469"/>
        <v>0</v>
      </c>
      <c r="AQ174" s="70">
        <f t="shared" si="469"/>
        <v>363.95</v>
      </c>
      <c r="AR174" s="70">
        <f t="shared" si="469"/>
        <v>0</v>
      </c>
      <c r="AS174" s="70">
        <f t="shared" si="469"/>
        <v>0</v>
      </c>
      <c r="AT174" s="70">
        <f t="shared" si="469"/>
        <v>0</v>
      </c>
      <c r="AU174" s="70">
        <f t="shared" si="469"/>
        <v>181.95</v>
      </c>
      <c r="AV174" s="70">
        <f t="shared" si="469"/>
        <v>0</v>
      </c>
      <c r="AW174" s="70">
        <f t="shared" si="469"/>
        <v>0</v>
      </c>
      <c r="AX174" s="70">
        <f t="shared" si="469"/>
        <v>0</v>
      </c>
      <c r="AY174" s="70">
        <f t="shared" si="469"/>
        <v>606.9</v>
      </c>
      <c r="AZ174" s="70">
        <f t="shared" si="469"/>
        <v>0</v>
      </c>
      <c r="BA174" s="70">
        <f t="shared" si="469"/>
        <v>606.9</v>
      </c>
      <c r="BB174" s="70">
        <f t="shared" si="469"/>
        <v>641.5</v>
      </c>
      <c r="BC174" s="70">
        <f t="shared" si="469"/>
        <v>0</v>
      </c>
      <c r="BD174" s="70">
        <f t="shared" si="469"/>
        <v>-34.599999999999994</v>
      </c>
      <c r="BE174" s="70">
        <f t="shared" si="469"/>
        <v>0</v>
      </c>
      <c r="BF174" s="70">
        <f t="shared" si="469"/>
        <v>128.30000000000001</v>
      </c>
      <c r="BG174" s="96">
        <f t="shared" si="469"/>
        <v>0</v>
      </c>
      <c r="BH174" s="96">
        <f t="shared" si="469"/>
        <v>62.34</v>
      </c>
      <c r="BI174" s="96">
        <f t="shared" si="469"/>
        <v>0</v>
      </c>
      <c r="BJ174" s="96">
        <f t="shared" si="469"/>
        <v>0</v>
      </c>
      <c r="BK174" s="96">
        <f t="shared" si="469"/>
        <v>0</v>
      </c>
      <c r="BL174" s="96">
        <f t="shared" si="469"/>
        <v>669.24</v>
      </c>
      <c r="BM174" s="96">
        <f t="shared" si="469"/>
        <v>0</v>
      </c>
      <c r="BN174" s="96">
        <f t="shared" si="469"/>
        <v>669.24</v>
      </c>
      <c r="BO174" s="96">
        <f t="shared" si="469"/>
        <v>645.89</v>
      </c>
      <c r="BP174" s="96">
        <f t="shared" si="469"/>
        <v>0</v>
      </c>
      <c r="BQ174" s="70">
        <f t="shared" si="469"/>
        <v>23.350000000000023</v>
      </c>
      <c r="BR174" s="70">
        <f t="shared" si="469"/>
        <v>0</v>
      </c>
      <c r="BS174" s="70">
        <f t="shared" si="469"/>
        <v>58.72</v>
      </c>
      <c r="BT174" s="70">
        <f t="shared" si="469"/>
        <v>0</v>
      </c>
      <c r="BU174" s="70">
        <f t="shared" si="469"/>
        <v>35.370000000000005</v>
      </c>
      <c r="BV174" s="70">
        <f t="shared" si="469"/>
        <v>0</v>
      </c>
      <c r="BW174" s="70">
        <f t="shared" si="469"/>
        <v>57</v>
      </c>
      <c r="BX174" s="70">
        <f t="shared" si="469"/>
        <v>0</v>
      </c>
      <c r="BY174" s="70">
        <f t="shared" si="469"/>
        <v>0</v>
      </c>
      <c r="BZ174" s="70">
        <f t="shared" si="469"/>
        <v>0</v>
      </c>
      <c r="CA174" s="70">
        <f t="shared" si="469"/>
        <v>761.61000000000013</v>
      </c>
      <c r="CB174" s="70">
        <f t="shared" si="469"/>
        <v>0</v>
      </c>
      <c r="CC174" s="70">
        <f t="shared" si="469"/>
        <v>837.77</v>
      </c>
      <c r="CD174" s="70">
        <f t="shared" si="469"/>
        <v>0</v>
      </c>
      <c r="CE174" s="70">
        <f t="shared" si="469"/>
        <v>69</v>
      </c>
      <c r="CF174" s="70">
        <f t="shared" si="469"/>
        <v>0</v>
      </c>
      <c r="CG174" s="70">
        <f t="shared" si="469"/>
        <v>190.41000000000003</v>
      </c>
      <c r="CH174" s="96">
        <f t="shared" si="469"/>
        <v>0</v>
      </c>
      <c r="CI174" s="70">
        <f t="shared" si="469"/>
        <v>0</v>
      </c>
      <c r="CJ174" s="70">
        <f t="shared" si="469"/>
        <v>0</v>
      </c>
      <c r="CK174" s="70">
        <f t="shared" si="469"/>
        <v>261</v>
      </c>
      <c r="CL174" s="70">
        <f t="shared" si="469"/>
        <v>30</v>
      </c>
      <c r="CM174" s="70">
        <f t="shared" si="469"/>
        <v>0</v>
      </c>
      <c r="CN174" s="70">
        <f t="shared" si="469"/>
        <v>0</v>
      </c>
      <c r="CO174" s="70">
        <f t="shared" si="469"/>
        <v>765</v>
      </c>
      <c r="CP174" s="70">
        <f t="shared" ref="CP174:FD174" si="470">+CP171+CP172+CP173</f>
        <v>0</v>
      </c>
      <c r="CQ174" s="70">
        <f t="shared" si="470"/>
        <v>1044</v>
      </c>
      <c r="CR174" s="70">
        <f t="shared" si="470"/>
        <v>120</v>
      </c>
      <c r="CS174" s="70">
        <f t="shared" si="470"/>
        <v>765</v>
      </c>
      <c r="CT174" s="70">
        <f t="shared" si="470"/>
        <v>30</v>
      </c>
      <c r="CU174" s="70">
        <f t="shared" si="470"/>
        <v>765</v>
      </c>
      <c r="CV174" s="70">
        <f t="shared" si="470"/>
        <v>60</v>
      </c>
      <c r="CW174" s="70">
        <f t="shared" si="470"/>
        <v>191.25</v>
      </c>
      <c r="CX174" s="70">
        <f t="shared" si="470"/>
        <v>0</v>
      </c>
      <c r="CY174" s="70">
        <f t="shared" si="470"/>
        <v>0</v>
      </c>
      <c r="CZ174" s="70">
        <f t="shared" si="470"/>
        <v>0</v>
      </c>
      <c r="DA174" s="70">
        <f t="shared" si="470"/>
        <v>521.25</v>
      </c>
      <c r="DB174" s="70">
        <f t="shared" si="470"/>
        <v>30</v>
      </c>
      <c r="DC174" s="70">
        <f t="shared" si="470"/>
        <v>544.1</v>
      </c>
      <c r="DD174" s="70">
        <f t="shared" si="470"/>
        <v>29.75</v>
      </c>
      <c r="DE174" s="70">
        <f t="shared" si="470"/>
        <v>-22.849999999999994</v>
      </c>
      <c r="DF174" s="70">
        <f t="shared" si="470"/>
        <v>0.25</v>
      </c>
      <c r="DG174" s="70">
        <f t="shared" si="470"/>
        <v>191.25</v>
      </c>
      <c r="DH174" s="70">
        <f t="shared" si="470"/>
        <v>8.5</v>
      </c>
      <c r="DI174" s="70">
        <f t="shared" si="470"/>
        <v>214.1</v>
      </c>
      <c r="DJ174" s="70">
        <f t="shared" si="470"/>
        <v>0</v>
      </c>
      <c r="DK174" s="70">
        <f t="shared" si="470"/>
        <v>0</v>
      </c>
      <c r="DL174" s="70">
        <f t="shared" si="470"/>
        <v>0</v>
      </c>
      <c r="DM174" s="70">
        <f t="shared" si="470"/>
        <v>735.35</v>
      </c>
      <c r="DN174" s="70">
        <f t="shared" si="470"/>
        <v>30</v>
      </c>
      <c r="DO174" s="70">
        <f t="shared" si="470"/>
        <v>720.83</v>
      </c>
      <c r="DP174" s="70">
        <f t="shared" si="470"/>
        <v>29.75</v>
      </c>
      <c r="DQ174" s="70">
        <f t="shared" si="470"/>
        <v>14.52</v>
      </c>
      <c r="DR174" s="70">
        <f t="shared" si="470"/>
        <v>0.25</v>
      </c>
      <c r="DS174" s="70">
        <f t="shared" si="470"/>
        <v>72.082999999999998</v>
      </c>
      <c r="DT174" s="70">
        <f t="shared" si="470"/>
        <v>2.9750000000000001</v>
      </c>
      <c r="DU174" s="70">
        <f t="shared" si="470"/>
        <v>57.563000000000009</v>
      </c>
      <c r="DV174" s="70">
        <f t="shared" si="470"/>
        <v>2.7250000000000001</v>
      </c>
      <c r="DW174" s="70">
        <f t="shared" si="470"/>
        <v>59</v>
      </c>
      <c r="DX174" s="70">
        <f t="shared" si="470"/>
        <v>0</v>
      </c>
      <c r="DY174" s="70">
        <f t="shared" si="470"/>
        <v>66.56</v>
      </c>
      <c r="DZ174" s="70">
        <f t="shared" si="470"/>
        <v>0</v>
      </c>
      <c r="EA174" s="70">
        <f t="shared" si="470"/>
        <v>0</v>
      </c>
      <c r="EB174" s="96">
        <f t="shared" si="470"/>
        <v>0</v>
      </c>
      <c r="EC174" s="70">
        <f t="shared" si="470"/>
        <v>801.91</v>
      </c>
      <c r="ED174" s="70">
        <f t="shared" si="470"/>
        <v>30</v>
      </c>
      <c r="EE174" s="70">
        <f t="shared" si="470"/>
        <v>791.2</v>
      </c>
      <c r="EF174" s="70">
        <f t="shared" si="470"/>
        <v>29.75</v>
      </c>
      <c r="EG174" s="70" t="e">
        <f t="shared" si="470"/>
        <v>#DIV/0!</v>
      </c>
      <c r="EH174" s="70" t="e">
        <f t="shared" si="470"/>
        <v>#DIV/0!</v>
      </c>
      <c r="EI174" s="70">
        <f t="shared" si="470"/>
        <v>10.71</v>
      </c>
      <c r="EJ174" s="70">
        <f t="shared" si="470"/>
        <v>0.25</v>
      </c>
      <c r="EK174" s="70">
        <f t="shared" si="470"/>
        <v>71.929999999999993</v>
      </c>
      <c r="EL174" s="70">
        <f t="shared" si="470"/>
        <v>2.7</v>
      </c>
      <c r="EM174" s="70">
        <f t="shared" si="470"/>
        <v>61.22</v>
      </c>
      <c r="EN174" s="70">
        <f t="shared" si="470"/>
        <v>2.4500000000000002</v>
      </c>
      <c r="EO174" s="70">
        <f t="shared" si="470"/>
        <v>52.71</v>
      </c>
      <c r="EP174" s="70">
        <f t="shared" si="470"/>
        <v>0</v>
      </c>
      <c r="EQ174" s="66">
        <f t="shared" si="470"/>
        <v>0</v>
      </c>
      <c r="ER174" s="5"/>
      <c r="ES174" s="66"/>
      <c r="ET174" s="66"/>
      <c r="EU174" s="5">
        <f t="shared" si="442"/>
        <v>70.380000000000024</v>
      </c>
      <c r="EV174" s="5">
        <f t="shared" si="442"/>
        <v>4</v>
      </c>
      <c r="EW174" s="46">
        <f t="shared" si="470"/>
        <v>925</v>
      </c>
      <c r="EX174" s="46">
        <f t="shared" si="470"/>
        <v>34</v>
      </c>
      <c r="EY174" s="46">
        <f t="shared" si="470"/>
        <v>1115</v>
      </c>
      <c r="EZ174" s="46">
        <f t="shared" si="470"/>
        <v>0</v>
      </c>
      <c r="FA174" s="46">
        <f t="shared" si="470"/>
        <v>0</v>
      </c>
      <c r="FB174" s="46">
        <f t="shared" si="470"/>
        <v>0</v>
      </c>
      <c r="FC174" s="46">
        <f t="shared" si="470"/>
        <v>0</v>
      </c>
      <c r="FD174" s="46">
        <f t="shared" si="470"/>
        <v>0</v>
      </c>
    </row>
    <row r="175" spans="1:160" ht="18.75" x14ac:dyDescent="0.25">
      <c r="A175" s="68">
        <v>32</v>
      </c>
      <c r="B175" s="68" t="s">
        <v>386</v>
      </c>
      <c r="C175" s="91" t="s">
        <v>387</v>
      </c>
      <c r="D175" s="67" t="s">
        <v>388</v>
      </c>
      <c r="E175" s="69" t="s">
        <v>389</v>
      </c>
      <c r="F175" s="40">
        <v>377.15</v>
      </c>
      <c r="G175" s="40">
        <v>7.74</v>
      </c>
      <c r="H175" s="40">
        <v>377.15</v>
      </c>
      <c r="I175" s="70">
        <v>7.74</v>
      </c>
      <c r="J175" s="71">
        <v>0</v>
      </c>
      <c r="K175" s="71">
        <v>0</v>
      </c>
      <c r="L175" s="71">
        <v>0</v>
      </c>
      <c r="M175" s="71">
        <f>+L175+K175+J175</f>
        <v>0</v>
      </c>
      <c r="N175" s="71">
        <v>450</v>
      </c>
      <c r="O175" s="71">
        <v>0</v>
      </c>
      <c r="P175" s="71">
        <v>0</v>
      </c>
      <c r="Q175" s="71">
        <f>+P175+O175+N175</f>
        <v>450</v>
      </c>
      <c r="R175" s="71">
        <f>+Q175+M175</f>
        <v>450</v>
      </c>
      <c r="S175" s="71">
        <v>70</v>
      </c>
      <c r="T175" s="92"/>
      <c r="U175" s="92"/>
      <c r="V175" s="70">
        <f t="shared" ref="V175:V178" si="471">ROUND(H175*1.0583,2)</f>
        <v>399.14</v>
      </c>
      <c r="W175" s="70">
        <f t="shared" ref="W175:W178" si="472">ROUND(I175*1.0327,2)</f>
        <v>7.99</v>
      </c>
      <c r="X175" s="70">
        <f t="shared" si="352"/>
        <v>50.860000000000014</v>
      </c>
      <c r="Y175" s="70">
        <f t="shared" si="352"/>
        <v>62.01</v>
      </c>
      <c r="Z175" s="70">
        <v>0</v>
      </c>
      <c r="AA175" s="70">
        <v>399.14</v>
      </c>
      <c r="AB175" s="70">
        <f t="shared" si="360"/>
        <v>399.14</v>
      </c>
      <c r="AC175" s="43">
        <f t="shared" si="361"/>
        <v>0</v>
      </c>
      <c r="AD175" s="70">
        <f t="shared" ref="AD175:AE178" si="473">IF(X175&gt;0,V175,R175)</f>
        <v>399.14</v>
      </c>
      <c r="AE175" s="70">
        <f t="shared" si="473"/>
        <v>7.99</v>
      </c>
      <c r="AF175" s="70">
        <f t="shared" si="373"/>
        <v>63.15</v>
      </c>
      <c r="AG175" s="43">
        <f t="shared" si="353"/>
        <v>100</v>
      </c>
      <c r="AH175" s="43">
        <f t="shared" si="353"/>
        <v>2</v>
      </c>
      <c r="AI175" s="93">
        <f t="shared" si="354"/>
        <v>33</v>
      </c>
      <c r="AJ175" s="43">
        <f t="shared" si="354"/>
        <v>1</v>
      </c>
      <c r="AK175" s="43">
        <v>36</v>
      </c>
      <c r="AL175" s="43"/>
      <c r="AM175" s="43">
        <f t="shared" si="374"/>
        <v>99.79</v>
      </c>
      <c r="AN175" s="43">
        <f t="shared" si="375"/>
        <v>1.95</v>
      </c>
      <c r="AO175" s="43"/>
      <c r="AP175" s="43"/>
      <c r="AQ175" s="43">
        <f t="shared" si="355"/>
        <v>235.79000000000002</v>
      </c>
      <c r="AR175" s="43">
        <f t="shared" si="355"/>
        <v>3.95</v>
      </c>
      <c r="AS175" s="43"/>
      <c r="AT175" s="43"/>
      <c r="AU175" s="43">
        <f t="shared" si="424"/>
        <v>99.79</v>
      </c>
      <c r="AV175" s="43">
        <v>0</v>
      </c>
      <c r="AW175" s="72">
        <v>30.13</v>
      </c>
      <c r="AX175" s="72">
        <v>63.24</v>
      </c>
      <c r="AY175" s="43">
        <f t="shared" si="349"/>
        <v>398.71000000000004</v>
      </c>
      <c r="AZ175" s="43">
        <f t="shared" si="349"/>
        <v>68.19</v>
      </c>
      <c r="BA175" s="43">
        <f t="shared" si="356"/>
        <v>466.90000000000003</v>
      </c>
      <c r="BB175" s="60">
        <v>386.44</v>
      </c>
      <c r="BC175" s="60">
        <v>65.489999999999995</v>
      </c>
      <c r="BD175" s="60">
        <f t="shared" si="350"/>
        <v>12.270000000000039</v>
      </c>
      <c r="BE175" s="60">
        <f t="shared" si="350"/>
        <v>2.7000000000000028</v>
      </c>
      <c r="BF175" s="60">
        <f t="shared" si="351"/>
        <v>77.290000000000006</v>
      </c>
      <c r="BG175" s="60">
        <f t="shared" si="351"/>
        <v>13.1</v>
      </c>
      <c r="BH175" s="43">
        <v>15.65</v>
      </c>
      <c r="BI175" s="43">
        <v>3.8</v>
      </c>
      <c r="BJ175" s="43">
        <v>10.119999999999999</v>
      </c>
      <c r="BK175" s="43"/>
      <c r="BL175" s="43">
        <f t="shared" si="358"/>
        <v>424.48</v>
      </c>
      <c r="BM175" s="43">
        <f t="shared" si="358"/>
        <v>71.989999999999995</v>
      </c>
      <c r="BN175" s="43">
        <f t="shared" si="376"/>
        <v>496.47</v>
      </c>
      <c r="BO175" s="43">
        <v>421.09</v>
      </c>
      <c r="BP175" s="93">
        <v>66.040000000000006</v>
      </c>
      <c r="BQ175" s="43">
        <f t="shared" si="377"/>
        <v>3.3900000000000432</v>
      </c>
      <c r="BR175" s="43">
        <f t="shared" si="377"/>
        <v>5.9499999999999886</v>
      </c>
      <c r="BS175" s="43">
        <f t="shared" si="378"/>
        <v>38.28</v>
      </c>
      <c r="BT175" s="43">
        <f t="shared" si="378"/>
        <v>6</v>
      </c>
      <c r="BU175" s="43">
        <f t="shared" si="421"/>
        <v>34.889999999999958</v>
      </c>
      <c r="BV175" s="43">
        <v>0</v>
      </c>
      <c r="BW175" s="43"/>
      <c r="BX175" s="43"/>
      <c r="BY175" s="43"/>
      <c r="BZ175" s="43"/>
      <c r="CA175" s="43">
        <v>459.37</v>
      </c>
      <c r="CB175" s="43">
        <v>71.989999999999995</v>
      </c>
      <c r="CC175" s="92">
        <v>505.31</v>
      </c>
      <c r="CD175" s="92">
        <v>82.79</v>
      </c>
      <c r="CE175" s="92">
        <v>42</v>
      </c>
      <c r="CF175" s="92">
        <v>0</v>
      </c>
      <c r="CG175" s="92">
        <f t="shared" si="379"/>
        <v>114.84</v>
      </c>
      <c r="CH175" s="92">
        <f t="shared" si="379"/>
        <v>18</v>
      </c>
      <c r="CI175" s="43"/>
      <c r="CJ175" s="43"/>
      <c r="CK175" s="43">
        <v>122</v>
      </c>
      <c r="CL175" s="43">
        <v>19</v>
      </c>
      <c r="CM175" s="43"/>
      <c r="CN175" s="43"/>
      <c r="CO175" s="43">
        <v>460</v>
      </c>
      <c r="CP175" s="43"/>
      <c r="CQ175" s="43">
        <f t="shared" si="380"/>
        <v>488</v>
      </c>
      <c r="CR175" s="43">
        <f t="shared" si="380"/>
        <v>76</v>
      </c>
      <c r="CS175" s="43">
        <f t="shared" si="381"/>
        <v>460</v>
      </c>
      <c r="CT175" s="43">
        <f>IF(CP175&lt;CR175,CP175,CR175)+19</f>
        <v>19</v>
      </c>
      <c r="CU175" s="43">
        <v>470</v>
      </c>
      <c r="CV175" s="43">
        <f>19.07+0.03</f>
        <v>19.100000000000001</v>
      </c>
      <c r="CW175" s="43">
        <f t="shared" si="382"/>
        <v>117.5</v>
      </c>
      <c r="CX175" s="43">
        <v>-6.106226635438361E-16</v>
      </c>
      <c r="CY175" s="43"/>
      <c r="CZ175" s="43">
        <v>0.1</v>
      </c>
      <c r="DA175" s="43">
        <v>281.5</v>
      </c>
      <c r="DB175" s="43">
        <v>19.099999999999998</v>
      </c>
      <c r="DC175" s="43">
        <v>248.77</v>
      </c>
      <c r="DD175" s="43">
        <v>19.100000000000001</v>
      </c>
      <c r="DE175" s="43">
        <v>32.72999999999999</v>
      </c>
      <c r="DF175" s="43">
        <v>0</v>
      </c>
      <c r="DG175" s="43">
        <v>117.5</v>
      </c>
      <c r="DH175" s="43">
        <v>4.7699999999999996</v>
      </c>
      <c r="DI175" s="43">
        <v>84.77000000000001</v>
      </c>
      <c r="DJ175" s="43">
        <v>0</v>
      </c>
      <c r="DK175" s="43">
        <v>8</v>
      </c>
      <c r="DL175" s="43"/>
      <c r="DM175" s="43">
        <f t="shared" si="385"/>
        <v>374.27</v>
      </c>
      <c r="DN175" s="43">
        <f t="shared" si="385"/>
        <v>19.099999999999998</v>
      </c>
      <c r="DO175" s="94">
        <v>364.14</v>
      </c>
      <c r="DP175" s="95">
        <v>19.100000000000001</v>
      </c>
      <c r="DQ175" s="60">
        <f t="shared" si="386"/>
        <v>10.130000000000001</v>
      </c>
      <c r="DR175" s="60">
        <f t="shared" si="386"/>
        <v>0</v>
      </c>
      <c r="DS175" s="60">
        <f t="shared" si="387"/>
        <v>36.414000000000001</v>
      </c>
      <c r="DT175" s="60">
        <f t="shared" si="387"/>
        <v>1.9100000000000001</v>
      </c>
      <c r="DU175" s="60">
        <f t="shared" si="388"/>
        <v>26.283999999999999</v>
      </c>
      <c r="DV175" s="60">
        <f t="shared" si="388"/>
        <v>1.9100000000000001</v>
      </c>
      <c r="DW175" s="60"/>
      <c r="DX175" s="60">
        <v>3.92</v>
      </c>
      <c r="DY175" s="60">
        <f t="shared" si="389"/>
        <v>26.28</v>
      </c>
      <c r="DZ175" s="60">
        <v>5.5</v>
      </c>
      <c r="EA175" s="60">
        <v>10</v>
      </c>
      <c r="EB175" s="60"/>
      <c r="EC175" s="43">
        <f t="shared" si="390"/>
        <v>410.54999999999995</v>
      </c>
      <c r="ED175" s="43">
        <f t="shared" si="390"/>
        <v>24.599999999999998</v>
      </c>
      <c r="EE175" s="43">
        <v>401.31</v>
      </c>
      <c r="EF175" s="43">
        <v>20.9</v>
      </c>
      <c r="EG175" s="43">
        <f t="shared" si="423"/>
        <v>97.75</v>
      </c>
      <c r="EH175" s="43">
        <f t="shared" si="423"/>
        <v>84.96</v>
      </c>
      <c r="EI175" s="43">
        <f t="shared" si="391"/>
        <v>9.24</v>
      </c>
      <c r="EJ175" s="43">
        <f t="shared" si="391"/>
        <v>3.7</v>
      </c>
      <c r="EK175" s="43">
        <f t="shared" si="392"/>
        <v>36.479999999999997</v>
      </c>
      <c r="EL175" s="43">
        <f t="shared" si="392"/>
        <v>1.9</v>
      </c>
      <c r="EM175" s="43">
        <f t="shared" si="393"/>
        <v>27.239999999999995</v>
      </c>
      <c r="EN175" s="43">
        <f t="shared" si="393"/>
        <v>-1.8000000000000003</v>
      </c>
      <c r="EO175" s="43">
        <v>33</v>
      </c>
      <c r="EP175" s="43">
        <v>0</v>
      </c>
      <c r="EQ175" s="5"/>
      <c r="ER175" s="5"/>
      <c r="ES175" s="5"/>
      <c r="ET175" s="45">
        <v>5.5</v>
      </c>
      <c r="EU175" s="5">
        <f t="shared" si="442"/>
        <v>26.450000000000045</v>
      </c>
      <c r="EV175" s="5">
        <f t="shared" si="442"/>
        <v>-5.4999999999999964</v>
      </c>
      <c r="EW175" s="5">
        <v>470</v>
      </c>
      <c r="EX175" s="5">
        <v>19.100000000000001</v>
      </c>
      <c r="EY175" s="5">
        <v>575</v>
      </c>
      <c r="EZ175" s="5">
        <v>20</v>
      </c>
    </row>
    <row r="176" spans="1:160" ht="18.75" x14ac:dyDescent="0.25">
      <c r="A176" s="68">
        <v>33</v>
      </c>
      <c r="B176" s="68" t="s">
        <v>390</v>
      </c>
      <c r="C176" s="91" t="s">
        <v>198</v>
      </c>
      <c r="D176" s="67" t="s">
        <v>391</v>
      </c>
      <c r="E176" s="69" t="s">
        <v>392</v>
      </c>
      <c r="F176" s="40">
        <v>677.17000000000007</v>
      </c>
      <c r="G176" s="40">
        <v>63.64</v>
      </c>
      <c r="H176" s="40">
        <v>677.17000000000007</v>
      </c>
      <c r="I176" s="70">
        <v>68.64</v>
      </c>
      <c r="J176" s="71">
        <v>720</v>
      </c>
      <c r="K176" s="71">
        <v>0</v>
      </c>
      <c r="L176" s="71">
        <v>0</v>
      </c>
      <c r="M176" s="71">
        <f>+L176+K176+J176</f>
        <v>720</v>
      </c>
      <c r="N176" s="71">
        <v>0</v>
      </c>
      <c r="O176" s="71">
        <v>0</v>
      </c>
      <c r="P176" s="71">
        <v>0</v>
      </c>
      <c r="Q176" s="71">
        <f>+P176+O176+N176</f>
        <v>0</v>
      </c>
      <c r="R176" s="71">
        <f>+Q176+M176</f>
        <v>720</v>
      </c>
      <c r="S176" s="71">
        <v>35</v>
      </c>
      <c r="T176" s="92"/>
      <c r="U176" s="92"/>
      <c r="V176" s="70">
        <f t="shared" si="471"/>
        <v>716.65</v>
      </c>
      <c r="W176" s="70">
        <f t="shared" si="472"/>
        <v>70.88</v>
      </c>
      <c r="X176" s="70">
        <f t="shared" si="352"/>
        <v>3.3500000000000227</v>
      </c>
      <c r="Y176" s="70">
        <f t="shared" si="352"/>
        <v>-35.879999999999995</v>
      </c>
      <c r="Z176" s="70">
        <v>716.65</v>
      </c>
      <c r="AA176" s="70">
        <v>0</v>
      </c>
      <c r="AB176" s="70">
        <f t="shared" si="360"/>
        <v>716.65</v>
      </c>
      <c r="AC176" s="43">
        <f t="shared" si="361"/>
        <v>0</v>
      </c>
      <c r="AD176" s="70">
        <f t="shared" si="473"/>
        <v>716.65</v>
      </c>
      <c r="AE176" s="70">
        <f t="shared" si="473"/>
        <v>35</v>
      </c>
      <c r="AF176" s="70">
        <f t="shared" si="373"/>
        <v>31.58</v>
      </c>
      <c r="AG176" s="43">
        <f t="shared" si="353"/>
        <v>179</v>
      </c>
      <c r="AH176" s="43">
        <f t="shared" si="353"/>
        <v>9</v>
      </c>
      <c r="AI176" s="93">
        <f t="shared" si="354"/>
        <v>60</v>
      </c>
      <c r="AJ176" s="43">
        <f t="shared" si="354"/>
        <v>3</v>
      </c>
      <c r="AK176" s="43"/>
      <c r="AL176" s="43">
        <v>18</v>
      </c>
      <c r="AM176" s="43">
        <f t="shared" si="374"/>
        <v>179.16</v>
      </c>
      <c r="AN176" s="43">
        <f>ROUND(AE176*24.35%,2)-0.52</f>
        <v>8</v>
      </c>
      <c r="AO176" s="43"/>
      <c r="AP176" s="43"/>
      <c r="AQ176" s="43">
        <f t="shared" si="355"/>
        <v>358.15999999999997</v>
      </c>
      <c r="AR176" s="43">
        <f t="shared" si="355"/>
        <v>35</v>
      </c>
      <c r="AS176" s="43"/>
      <c r="AT176" s="43"/>
      <c r="AU176" s="43">
        <f t="shared" si="424"/>
        <v>179.16</v>
      </c>
      <c r="AV176" s="43">
        <v>0</v>
      </c>
      <c r="AW176" s="43"/>
      <c r="AX176" s="43"/>
      <c r="AY176" s="43">
        <f t="shared" si="349"/>
        <v>597.31999999999994</v>
      </c>
      <c r="AZ176" s="43">
        <f t="shared" si="349"/>
        <v>38</v>
      </c>
      <c r="BA176" s="43">
        <f t="shared" si="356"/>
        <v>635.31999999999994</v>
      </c>
      <c r="BB176" s="60">
        <v>595.80999999999995</v>
      </c>
      <c r="BC176" s="60">
        <v>28.84</v>
      </c>
      <c r="BD176" s="60">
        <f t="shared" si="350"/>
        <v>1.5099999999999909</v>
      </c>
      <c r="BE176" s="60">
        <f t="shared" si="350"/>
        <v>9.16</v>
      </c>
      <c r="BF176" s="60">
        <f t="shared" si="351"/>
        <v>119.16</v>
      </c>
      <c r="BG176" s="60">
        <f t="shared" si="351"/>
        <v>5.77</v>
      </c>
      <c r="BH176" s="43">
        <v>58.83</v>
      </c>
      <c r="BI176" s="43">
        <v>0</v>
      </c>
      <c r="BJ176" s="43"/>
      <c r="BK176" s="43"/>
      <c r="BL176" s="43">
        <f t="shared" si="358"/>
        <v>656.15</v>
      </c>
      <c r="BM176" s="43">
        <f t="shared" si="358"/>
        <v>38</v>
      </c>
      <c r="BN176" s="43">
        <f t="shared" si="376"/>
        <v>694.15</v>
      </c>
      <c r="BO176" s="43">
        <v>654.64</v>
      </c>
      <c r="BP176" s="93">
        <v>28.84</v>
      </c>
      <c r="BQ176" s="43">
        <f t="shared" si="377"/>
        <v>1.5099999999999909</v>
      </c>
      <c r="BR176" s="43">
        <f t="shared" si="377"/>
        <v>9.16</v>
      </c>
      <c r="BS176" s="43">
        <f t="shared" si="378"/>
        <v>59.51</v>
      </c>
      <c r="BT176" s="43">
        <f t="shared" si="378"/>
        <v>2.62</v>
      </c>
      <c r="BU176" s="43">
        <f t="shared" si="421"/>
        <v>58.000000000000007</v>
      </c>
      <c r="BV176" s="43">
        <v>0</v>
      </c>
      <c r="BW176" s="43">
        <v>25</v>
      </c>
      <c r="BX176" s="43"/>
      <c r="BY176" s="43">
        <v>3</v>
      </c>
      <c r="BZ176" s="43"/>
      <c r="CA176" s="43">
        <v>739.15</v>
      </c>
      <c r="CB176" s="43">
        <v>35</v>
      </c>
      <c r="CC176" s="92">
        <v>813.07</v>
      </c>
      <c r="CD176" s="92">
        <v>40.25</v>
      </c>
      <c r="CE176" s="92">
        <v>68</v>
      </c>
      <c r="CF176" s="92">
        <v>0</v>
      </c>
      <c r="CG176" s="92">
        <f t="shared" si="379"/>
        <v>184.79</v>
      </c>
      <c r="CH176" s="92">
        <f t="shared" si="379"/>
        <v>8.75</v>
      </c>
      <c r="CI176" s="43"/>
      <c r="CJ176" s="43"/>
      <c r="CK176" s="43">
        <v>240</v>
      </c>
      <c r="CL176" s="43">
        <v>2</v>
      </c>
      <c r="CM176" s="43"/>
      <c r="CN176" s="43"/>
      <c r="CO176" s="43">
        <v>750</v>
      </c>
      <c r="CP176" s="43">
        <v>0</v>
      </c>
      <c r="CQ176" s="43">
        <f t="shared" si="380"/>
        <v>960</v>
      </c>
      <c r="CR176" s="43">
        <f t="shared" si="380"/>
        <v>8</v>
      </c>
      <c r="CS176" s="43">
        <f t="shared" si="381"/>
        <v>750</v>
      </c>
      <c r="CT176" s="43">
        <f>IF(CP176&lt;CR176,CP176,CR176)+75</f>
        <v>75</v>
      </c>
      <c r="CU176" s="43">
        <f t="shared" ref="CU176" si="474">IF(CQ176&lt;CS176,CQ176,CS176)</f>
        <v>750</v>
      </c>
      <c r="CV176" s="43">
        <f>IF(CR176&lt;CT176,CR176,CT176)+75</f>
        <v>83</v>
      </c>
      <c r="CW176" s="43">
        <f t="shared" si="382"/>
        <v>187.5</v>
      </c>
      <c r="CX176" s="43">
        <f t="shared" si="382"/>
        <v>20.75</v>
      </c>
      <c r="CY176" s="43"/>
      <c r="CZ176" s="43"/>
      <c r="DA176" s="43">
        <f t="shared" si="383"/>
        <v>495.5</v>
      </c>
      <c r="DB176" s="43">
        <f t="shared" si="383"/>
        <v>22.75</v>
      </c>
      <c r="DC176" s="43">
        <v>497.41</v>
      </c>
      <c r="DD176" s="43">
        <v>0.17</v>
      </c>
      <c r="DE176" s="43">
        <f t="shared" si="384"/>
        <v>-1.910000000000025</v>
      </c>
      <c r="DF176" s="43">
        <f t="shared" si="384"/>
        <v>22.58</v>
      </c>
      <c r="DG176" s="43">
        <f t="shared" ref="DG176:DH178" si="475">ROUND(0.25*(MIN(CU176,EW176)),2)</f>
        <v>187.5</v>
      </c>
      <c r="DH176" s="43">
        <f t="shared" si="475"/>
        <v>20.75</v>
      </c>
      <c r="DI176" s="43">
        <f>+DG176-DE176+100-34.91</f>
        <v>254.50000000000003</v>
      </c>
      <c r="DJ176" s="43">
        <v>60.25</v>
      </c>
      <c r="DK176" s="43"/>
      <c r="DL176" s="43"/>
      <c r="DM176" s="43">
        <f t="shared" si="385"/>
        <v>750</v>
      </c>
      <c r="DN176" s="43">
        <f t="shared" si="385"/>
        <v>83</v>
      </c>
      <c r="DO176" s="104">
        <v>751.74</v>
      </c>
      <c r="DP176" s="95">
        <v>0.26</v>
      </c>
      <c r="DQ176" s="60">
        <f t="shared" si="386"/>
        <v>-1.74</v>
      </c>
      <c r="DR176" s="60">
        <f t="shared" si="386"/>
        <v>82.74</v>
      </c>
      <c r="DS176" s="60">
        <f t="shared" si="387"/>
        <v>75.174000000000007</v>
      </c>
      <c r="DT176" s="60">
        <f t="shared" si="387"/>
        <v>2.6000000000000002E-2</v>
      </c>
      <c r="DU176" s="60">
        <f t="shared" si="388"/>
        <v>76.914000000000001</v>
      </c>
      <c r="DV176" s="60">
        <f t="shared" si="388"/>
        <v>-82.713999999999999</v>
      </c>
      <c r="DW176" s="60">
        <v>12</v>
      </c>
      <c r="DX176" s="60"/>
      <c r="DY176" s="60">
        <f>ROUND(DU176+DW176,2)-14</f>
        <v>74.91</v>
      </c>
      <c r="DZ176" s="60">
        <v>0</v>
      </c>
      <c r="EA176" s="60">
        <v>14</v>
      </c>
      <c r="EB176" s="60"/>
      <c r="EC176" s="43">
        <f t="shared" si="390"/>
        <v>838.91</v>
      </c>
      <c r="ED176" s="43">
        <f t="shared" si="390"/>
        <v>83</v>
      </c>
      <c r="EE176" s="43">
        <v>826.65</v>
      </c>
      <c r="EF176" s="43">
        <v>0.26</v>
      </c>
      <c r="EG176" s="43">
        <f t="shared" si="423"/>
        <v>98.54</v>
      </c>
      <c r="EH176" s="43">
        <f t="shared" si="423"/>
        <v>0.31</v>
      </c>
      <c r="EI176" s="43">
        <f t="shared" si="391"/>
        <v>12.26</v>
      </c>
      <c r="EJ176" s="43">
        <f t="shared" si="391"/>
        <v>82.74</v>
      </c>
      <c r="EK176" s="43">
        <f t="shared" si="392"/>
        <v>75.150000000000006</v>
      </c>
      <c r="EL176" s="43">
        <f t="shared" si="392"/>
        <v>0.02</v>
      </c>
      <c r="EM176" s="43">
        <f t="shared" si="393"/>
        <v>62.890000000000008</v>
      </c>
      <c r="EN176" s="43">
        <f t="shared" si="393"/>
        <v>-82.72</v>
      </c>
      <c r="EO176" s="43">
        <v>80</v>
      </c>
      <c r="EP176" s="43">
        <v>15.75</v>
      </c>
      <c r="EQ176" s="5"/>
      <c r="ER176" s="5"/>
      <c r="ES176" s="5"/>
      <c r="ET176" s="5"/>
      <c r="EU176" s="5">
        <f t="shared" si="442"/>
        <v>-93.909999999999968</v>
      </c>
      <c r="EV176" s="5">
        <f t="shared" si="442"/>
        <v>1.25</v>
      </c>
      <c r="EW176" s="5">
        <v>825</v>
      </c>
      <c r="EX176" s="5">
        <v>100</v>
      </c>
      <c r="EY176" s="5">
        <v>850</v>
      </c>
      <c r="EZ176" s="5">
        <v>0</v>
      </c>
    </row>
    <row r="177" spans="1:160" ht="18.75" x14ac:dyDescent="0.25">
      <c r="A177" s="37">
        <v>34</v>
      </c>
      <c r="B177" s="37"/>
      <c r="C177" s="91" t="s">
        <v>136</v>
      </c>
      <c r="D177" s="57" t="s">
        <v>393</v>
      </c>
      <c r="E177" s="39"/>
      <c r="F177" s="40">
        <v>845.46</v>
      </c>
      <c r="G177" s="40">
        <v>66.550000000000011</v>
      </c>
      <c r="H177" s="40">
        <v>845.46</v>
      </c>
      <c r="I177" s="40">
        <v>111.57000000000002</v>
      </c>
      <c r="J177" s="41">
        <v>850</v>
      </c>
      <c r="K177" s="41">
        <v>0</v>
      </c>
      <c r="L177" s="41">
        <v>0</v>
      </c>
      <c r="M177" s="41">
        <f t="shared" ref="M177:M178" si="476">J177+K177+L177</f>
        <v>850</v>
      </c>
      <c r="N177" s="41">
        <v>0</v>
      </c>
      <c r="O177" s="41">
        <v>0</v>
      </c>
      <c r="P177" s="41">
        <v>0</v>
      </c>
      <c r="Q177" s="41">
        <f t="shared" ref="Q177:Q178" si="477">N177+O177+P177</f>
        <v>0</v>
      </c>
      <c r="R177" s="41">
        <f t="shared" ref="R177:R178" si="478">+Q177+M177</f>
        <v>850</v>
      </c>
      <c r="S177" s="41">
        <v>100</v>
      </c>
      <c r="T177" s="92"/>
      <c r="U177" s="92"/>
      <c r="V177" s="40">
        <f t="shared" si="471"/>
        <v>894.75</v>
      </c>
      <c r="W177" s="40">
        <f t="shared" si="472"/>
        <v>115.22</v>
      </c>
      <c r="X177" s="43">
        <f t="shared" si="352"/>
        <v>-44.75</v>
      </c>
      <c r="Y177" s="43">
        <f t="shared" si="352"/>
        <v>-15.219999999999999</v>
      </c>
      <c r="Z177" s="43">
        <v>850</v>
      </c>
      <c r="AA177" s="43"/>
      <c r="AB177" s="43">
        <f t="shared" si="360"/>
        <v>850</v>
      </c>
      <c r="AC177" s="43">
        <f t="shared" si="361"/>
        <v>0</v>
      </c>
      <c r="AD177" s="43">
        <f t="shared" si="473"/>
        <v>850</v>
      </c>
      <c r="AE177" s="43">
        <f t="shared" si="473"/>
        <v>100</v>
      </c>
      <c r="AF177" s="43">
        <f t="shared" si="373"/>
        <v>90.22</v>
      </c>
      <c r="AG177" s="43">
        <f t="shared" si="353"/>
        <v>213</v>
      </c>
      <c r="AH177" s="43">
        <f t="shared" si="353"/>
        <v>25</v>
      </c>
      <c r="AI177" s="93">
        <f t="shared" si="354"/>
        <v>71</v>
      </c>
      <c r="AJ177" s="43">
        <f t="shared" si="354"/>
        <v>8</v>
      </c>
      <c r="AK177" s="43"/>
      <c r="AL177" s="43"/>
      <c r="AM177" s="43">
        <f t="shared" si="374"/>
        <v>212.5</v>
      </c>
      <c r="AN177" s="43">
        <f t="shared" si="375"/>
        <v>24.35</v>
      </c>
      <c r="AO177" s="43"/>
      <c r="AP177" s="43"/>
      <c r="AQ177" s="43">
        <f t="shared" si="355"/>
        <v>425.5</v>
      </c>
      <c r="AR177" s="43">
        <f t="shared" si="355"/>
        <v>49.35</v>
      </c>
      <c r="AS177" s="43"/>
      <c r="AT177" s="43"/>
      <c r="AU177" s="43">
        <f t="shared" si="424"/>
        <v>212.5</v>
      </c>
      <c r="AV177" s="43">
        <f t="shared" si="424"/>
        <v>25</v>
      </c>
      <c r="AW177" s="43">
        <v>30</v>
      </c>
      <c r="AX177" s="43"/>
      <c r="AY177" s="43">
        <f t="shared" si="349"/>
        <v>739</v>
      </c>
      <c r="AZ177" s="43">
        <f t="shared" si="349"/>
        <v>82.35</v>
      </c>
      <c r="BA177" s="43">
        <f t="shared" si="356"/>
        <v>821.35</v>
      </c>
      <c r="BB177" s="60">
        <v>729.9</v>
      </c>
      <c r="BC177" s="60">
        <v>23.77</v>
      </c>
      <c r="BD177" s="60">
        <f t="shared" si="350"/>
        <v>9.1000000000000227</v>
      </c>
      <c r="BE177" s="60">
        <f t="shared" si="350"/>
        <v>58.58</v>
      </c>
      <c r="BF177" s="60">
        <f t="shared" si="351"/>
        <v>145.97999999999999</v>
      </c>
      <c r="BG177" s="60">
        <f t="shared" si="351"/>
        <v>4.75</v>
      </c>
      <c r="BH177" s="43">
        <v>68.44</v>
      </c>
      <c r="BI177" s="43">
        <v>0</v>
      </c>
      <c r="BJ177" s="43"/>
      <c r="BK177" s="43"/>
      <c r="BL177" s="43">
        <f t="shared" si="358"/>
        <v>807.44</v>
      </c>
      <c r="BM177" s="43">
        <f t="shared" si="358"/>
        <v>82.35</v>
      </c>
      <c r="BN177" s="43">
        <f t="shared" si="376"/>
        <v>889.79000000000008</v>
      </c>
      <c r="BO177" s="43">
        <v>804.36</v>
      </c>
      <c r="BP177" s="93">
        <v>25.16</v>
      </c>
      <c r="BQ177" s="43">
        <f t="shared" si="377"/>
        <v>3.0800000000000409</v>
      </c>
      <c r="BR177" s="43">
        <f t="shared" si="377"/>
        <v>57.19</v>
      </c>
      <c r="BS177" s="43">
        <f t="shared" si="378"/>
        <v>73.12</v>
      </c>
      <c r="BT177" s="43">
        <f t="shared" si="378"/>
        <v>2.29</v>
      </c>
      <c r="BU177" s="43">
        <f t="shared" si="421"/>
        <v>70.039999999999964</v>
      </c>
      <c r="BV177" s="43">
        <v>0</v>
      </c>
      <c r="BW177" s="43">
        <f>1.52+2.3</f>
        <v>3.82</v>
      </c>
      <c r="BX177" s="43"/>
      <c r="BY177" s="43">
        <v>55.45</v>
      </c>
      <c r="BZ177" s="43"/>
      <c r="CA177" s="43">
        <v>881.30000000000007</v>
      </c>
      <c r="CB177" s="43">
        <v>26.899999999999991</v>
      </c>
      <c r="CC177" s="92">
        <v>969.43</v>
      </c>
      <c r="CD177" s="92">
        <v>30.94</v>
      </c>
      <c r="CE177" s="92">
        <v>81</v>
      </c>
      <c r="CF177" s="92">
        <v>3</v>
      </c>
      <c r="CG177" s="92">
        <f t="shared" si="379"/>
        <v>220.33</v>
      </c>
      <c r="CH177" s="92">
        <f t="shared" si="379"/>
        <v>6.73</v>
      </c>
      <c r="CI177" s="43"/>
      <c r="CJ177" s="43"/>
      <c r="CK177" s="43">
        <v>236</v>
      </c>
      <c r="CL177" s="72">
        <f>54-10-10</f>
        <v>34</v>
      </c>
      <c r="CM177" s="72"/>
      <c r="CN177" s="72">
        <v>20</v>
      </c>
      <c r="CO177" s="43">
        <v>950</v>
      </c>
      <c r="CP177" s="43">
        <f>35+22</f>
        <v>57</v>
      </c>
      <c r="CQ177" s="43">
        <f t="shared" si="380"/>
        <v>944</v>
      </c>
      <c r="CR177" s="43">
        <f t="shared" si="380"/>
        <v>136</v>
      </c>
      <c r="CS177" s="43">
        <f t="shared" si="381"/>
        <v>944</v>
      </c>
      <c r="CT177" s="43">
        <f t="shared" si="381"/>
        <v>57</v>
      </c>
      <c r="CU177" s="43">
        <v>920</v>
      </c>
      <c r="CV177" s="43">
        <v>350</v>
      </c>
      <c r="CW177" s="43">
        <f t="shared" si="382"/>
        <v>230</v>
      </c>
      <c r="CX177" s="43">
        <v>234</v>
      </c>
      <c r="CY177" s="43"/>
      <c r="CZ177" s="43"/>
      <c r="DA177" s="43">
        <f t="shared" si="383"/>
        <v>547</v>
      </c>
      <c r="DB177" s="43">
        <f t="shared" si="383"/>
        <v>291</v>
      </c>
      <c r="DC177" s="43">
        <v>533.61</v>
      </c>
      <c r="DD177" s="43">
        <v>272.63</v>
      </c>
      <c r="DE177" s="43">
        <f t="shared" si="384"/>
        <v>13.389999999999986</v>
      </c>
      <c r="DF177" s="43">
        <f t="shared" si="384"/>
        <v>18.370000000000005</v>
      </c>
      <c r="DG177" s="43">
        <f t="shared" si="475"/>
        <v>225</v>
      </c>
      <c r="DH177" s="43">
        <f t="shared" si="475"/>
        <v>87.5</v>
      </c>
      <c r="DI177" s="43">
        <v>216.61</v>
      </c>
      <c r="DJ177" s="43">
        <f>+DH177-DF177-20</f>
        <v>49.129999999999995</v>
      </c>
      <c r="DK177" s="43"/>
      <c r="DL177" s="43"/>
      <c r="DM177" s="43">
        <f t="shared" si="385"/>
        <v>763.61</v>
      </c>
      <c r="DN177" s="43">
        <f t="shared" si="385"/>
        <v>340.13</v>
      </c>
      <c r="DO177" s="94">
        <v>753.93</v>
      </c>
      <c r="DP177" s="95">
        <v>338.89</v>
      </c>
      <c r="DQ177" s="60">
        <f t="shared" si="386"/>
        <v>9.68</v>
      </c>
      <c r="DR177" s="60">
        <f t="shared" si="386"/>
        <v>1.24</v>
      </c>
      <c r="DS177" s="60">
        <f t="shared" si="387"/>
        <v>75.393000000000001</v>
      </c>
      <c r="DT177" s="60">
        <f t="shared" si="387"/>
        <v>33.888999999999996</v>
      </c>
      <c r="DU177" s="60">
        <f t="shared" si="388"/>
        <v>65.712999999999994</v>
      </c>
      <c r="DV177" s="60">
        <f t="shared" si="388"/>
        <v>32.648999999999994</v>
      </c>
      <c r="DW177" s="60"/>
      <c r="DX177" s="60"/>
      <c r="DY177" s="60">
        <v>75</v>
      </c>
      <c r="DZ177" s="60">
        <v>70</v>
      </c>
      <c r="EA177" s="60"/>
      <c r="EB177" s="60"/>
      <c r="EC177" s="43">
        <f t="shared" si="390"/>
        <v>838.61</v>
      </c>
      <c r="ED177" s="43">
        <f t="shared" si="390"/>
        <v>410.13</v>
      </c>
      <c r="EE177" s="43">
        <v>823.09</v>
      </c>
      <c r="EF177" s="43">
        <v>338.89</v>
      </c>
      <c r="EG177" s="43">
        <f t="shared" si="423"/>
        <v>98.15</v>
      </c>
      <c r="EH177" s="43">
        <f t="shared" si="423"/>
        <v>82.63</v>
      </c>
      <c r="EI177" s="43">
        <f t="shared" si="391"/>
        <v>15.52</v>
      </c>
      <c r="EJ177" s="43">
        <f t="shared" si="391"/>
        <v>71.239999999999995</v>
      </c>
      <c r="EK177" s="43">
        <f t="shared" si="392"/>
        <v>74.83</v>
      </c>
      <c r="EL177" s="43">
        <f t="shared" si="392"/>
        <v>30.81</v>
      </c>
      <c r="EM177" s="43">
        <f t="shared" si="393"/>
        <v>59.31</v>
      </c>
      <c r="EN177" s="43">
        <f t="shared" si="393"/>
        <v>-40.429999999999993</v>
      </c>
      <c r="EO177" s="43">
        <v>61.39</v>
      </c>
      <c r="EP177" s="43">
        <v>23.86</v>
      </c>
      <c r="EQ177" s="5"/>
      <c r="ER177" s="5"/>
      <c r="ES177" s="45">
        <v>141.38999999999999</v>
      </c>
      <c r="ET177" s="45">
        <v>93.860000000000014</v>
      </c>
      <c r="EU177" s="5">
        <f t="shared" si="442"/>
        <v>0</v>
      </c>
      <c r="EV177" s="5">
        <f t="shared" si="442"/>
        <v>0</v>
      </c>
      <c r="EW177" s="5">
        <v>900</v>
      </c>
      <c r="EX177" s="5">
        <v>433.99</v>
      </c>
      <c r="EY177" s="5">
        <v>1034</v>
      </c>
      <c r="EZ177" s="5">
        <v>100</v>
      </c>
    </row>
    <row r="178" spans="1:160" ht="18.75" x14ac:dyDescent="0.25">
      <c r="A178" s="37">
        <v>35</v>
      </c>
      <c r="B178" s="37"/>
      <c r="C178" s="91" t="s">
        <v>136</v>
      </c>
      <c r="D178" s="38" t="s">
        <v>394</v>
      </c>
      <c r="E178" s="39"/>
      <c r="F178" s="40">
        <v>226.63000000000002</v>
      </c>
      <c r="G178" s="40">
        <v>0</v>
      </c>
      <c r="H178" s="40">
        <v>237.66000000000003</v>
      </c>
      <c r="I178" s="40">
        <v>0</v>
      </c>
      <c r="J178" s="41">
        <v>136.25</v>
      </c>
      <c r="K178" s="41">
        <v>0</v>
      </c>
      <c r="L178" s="41">
        <v>0</v>
      </c>
      <c r="M178" s="41">
        <f t="shared" si="476"/>
        <v>136.25</v>
      </c>
      <c r="N178" s="41">
        <v>0</v>
      </c>
      <c r="O178" s="41">
        <v>0</v>
      </c>
      <c r="P178" s="41">
        <v>0</v>
      </c>
      <c r="Q178" s="41">
        <f t="shared" si="477"/>
        <v>0</v>
      </c>
      <c r="R178" s="41">
        <f t="shared" si="478"/>
        <v>136.25</v>
      </c>
      <c r="S178" s="41">
        <v>0</v>
      </c>
      <c r="T178" s="92"/>
      <c r="U178" s="92"/>
      <c r="V178" s="40">
        <f t="shared" si="471"/>
        <v>251.52</v>
      </c>
      <c r="W178" s="40">
        <f t="shared" si="472"/>
        <v>0</v>
      </c>
      <c r="X178" s="43">
        <f t="shared" si="352"/>
        <v>-115.27000000000001</v>
      </c>
      <c r="Y178" s="43">
        <f t="shared" si="352"/>
        <v>0</v>
      </c>
      <c r="Z178" s="43">
        <v>136.25</v>
      </c>
      <c r="AA178" s="43"/>
      <c r="AB178" s="43">
        <f t="shared" si="360"/>
        <v>136.25</v>
      </c>
      <c r="AC178" s="43">
        <f t="shared" si="361"/>
        <v>0</v>
      </c>
      <c r="AD178" s="43">
        <f t="shared" si="473"/>
        <v>136.25</v>
      </c>
      <c r="AE178" s="43">
        <f t="shared" si="473"/>
        <v>0</v>
      </c>
      <c r="AF178" s="43">
        <f t="shared" si="373"/>
        <v>0</v>
      </c>
      <c r="AG178" s="43">
        <f t="shared" si="353"/>
        <v>34</v>
      </c>
      <c r="AH178" s="43">
        <f t="shared" si="353"/>
        <v>0</v>
      </c>
      <c r="AI178" s="93">
        <f t="shared" si="354"/>
        <v>11</v>
      </c>
      <c r="AJ178" s="43">
        <f t="shared" si="354"/>
        <v>0</v>
      </c>
      <c r="AK178" s="43"/>
      <c r="AL178" s="43"/>
      <c r="AM178" s="43">
        <f t="shared" si="374"/>
        <v>34.06</v>
      </c>
      <c r="AN178" s="43">
        <f t="shared" si="375"/>
        <v>0</v>
      </c>
      <c r="AO178" s="43"/>
      <c r="AP178" s="43"/>
      <c r="AQ178" s="43">
        <f t="shared" si="355"/>
        <v>68.06</v>
      </c>
      <c r="AR178" s="43">
        <f t="shared" si="355"/>
        <v>0</v>
      </c>
      <c r="AS178" s="43"/>
      <c r="AT178" s="43"/>
      <c r="AU178" s="43">
        <f t="shared" si="424"/>
        <v>34.06</v>
      </c>
      <c r="AV178" s="43">
        <f t="shared" si="424"/>
        <v>0</v>
      </c>
      <c r="AW178" s="43"/>
      <c r="AX178" s="43"/>
      <c r="AY178" s="43">
        <f t="shared" si="349"/>
        <v>113.12</v>
      </c>
      <c r="AZ178" s="43">
        <f t="shared" si="349"/>
        <v>0</v>
      </c>
      <c r="BA178" s="43">
        <f t="shared" si="356"/>
        <v>113.12</v>
      </c>
      <c r="BB178" s="60">
        <v>113.12</v>
      </c>
      <c r="BC178" s="60"/>
      <c r="BD178" s="60">
        <f t="shared" si="350"/>
        <v>0</v>
      </c>
      <c r="BE178" s="60">
        <f t="shared" si="350"/>
        <v>0</v>
      </c>
      <c r="BF178" s="60">
        <f t="shared" si="351"/>
        <v>22.62</v>
      </c>
      <c r="BG178" s="60">
        <f t="shared" si="351"/>
        <v>0</v>
      </c>
      <c r="BH178" s="43">
        <v>11.31</v>
      </c>
      <c r="BI178" s="43">
        <v>0</v>
      </c>
      <c r="BJ178" s="43"/>
      <c r="BK178" s="43"/>
      <c r="BL178" s="43">
        <f t="shared" si="358"/>
        <v>124.43</v>
      </c>
      <c r="BM178" s="43">
        <f t="shared" si="358"/>
        <v>0</v>
      </c>
      <c r="BN178" s="43">
        <f t="shared" si="376"/>
        <v>124.43</v>
      </c>
      <c r="BO178" s="43">
        <v>113.12</v>
      </c>
      <c r="BP178" s="93"/>
      <c r="BQ178" s="43">
        <f t="shared" si="377"/>
        <v>11.310000000000002</v>
      </c>
      <c r="BR178" s="43">
        <f t="shared" si="377"/>
        <v>0</v>
      </c>
      <c r="BS178" s="43">
        <f t="shared" si="378"/>
        <v>10.28</v>
      </c>
      <c r="BT178" s="43">
        <f t="shared" si="378"/>
        <v>0</v>
      </c>
      <c r="BU178" s="43">
        <f t="shared" si="421"/>
        <v>-1.0300000000000029</v>
      </c>
      <c r="BV178" s="43">
        <v>0</v>
      </c>
      <c r="BW178" s="43">
        <v>4</v>
      </c>
      <c r="BX178" s="43"/>
      <c r="BY178" s="43"/>
      <c r="BZ178" s="43"/>
      <c r="CA178" s="43">
        <v>127.4</v>
      </c>
      <c r="CB178" s="43">
        <v>0</v>
      </c>
      <c r="CC178" s="92">
        <v>140.13999999999999</v>
      </c>
      <c r="CD178" s="92">
        <v>0</v>
      </c>
      <c r="CE178" s="92">
        <v>12</v>
      </c>
      <c r="CF178" s="92">
        <v>0</v>
      </c>
      <c r="CG178" s="92">
        <f t="shared" si="379"/>
        <v>31.85</v>
      </c>
      <c r="CH178" s="92">
        <f t="shared" si="379"/>
        <v>0</v>
      </c>
      <c r="CI178" s="43"/>
      <c r="CJ178" s="43"/>
      <c r="CK178" s="43">
        <v>28</v>
      </c>
      <c r="CL178" s="43">
        <v>0</v>
      </c>
      <c r="CM178" s="43"/>
      <c r="CN178" s="43"/>
      <c r="CO178" s="43">
        <v>117.3</v>
      </c>
      <c r="CP178" s="43"/>
      <c r="CQ178" s="43">
        <f t="shared" si="380"/>
        <v>112</v>
      </c>
      <c r="CR178" s="43">
        <f t="shared" si="380"/>
        <v>0</v>
      </c>
      <c r="CS178" s="43">
        <f t="shared" si="381"/>
        <v>112</v>
      </c>
      <c r="CT178" s="43">
        <f t="shared" si="381"/>
        <v>0</v>
      </c>
      <c r="CU178" s="43">
        <v>114.5</v>
      </c>
      <c r="CV178" s="43">
        <v>0</v>
      </c>
      <c r="CW178" s="43">
        <f t="shared" si="382"/>
        <v>28.63</v>
      </c>
      <c r="CX178" s="43">
        <f t="shared" si="382"/>
        <v>0</v>
      </c>
      <c r="CY178" s="43"/>
      <c r="CZ178" s="43"/>
      <c r="DA178" s="43">
        <f t="shared" si="383"/>
        <v>68.63</v>
      </c>
      <c r="DB178" s="43">
        <f t="shared" si="383"/>
        <v>0</v>
      </c>
      <c r="DC178" s="43">
        <v>68.63</v>
      </c>
      <c r="DD178" s="43">
        <v>0</v>
      </c>
      <c r="DE178" s="43">
        <f t="shared" si="384"/>
        <v>0</v>
      </c>
      <c r="DF178" s="43">
        <f t="shared" si="384"/>
        <v>0</v>
      </c>
      <c r="DG178" s="43">
        <f t="shared" si="475"/>
        <v>28.63</v>
      </c>
      <c r="DH178" s="43">
        <f t="shared" si="475"/>
        <v>0</v>
      </c>
      <c r="DI178" s="43">
        <f>+DG178-DE178</f>
        <v>28.63</v>
      </c>
      <c r="DJ178" s="43">
        <f>+DH178-DF178</f>
        <v>0</v>
      </c>
      <c r="DK178" s="43"/>
      <c r="DL178" s="43"/>
      <c r="DM178" s="43">
        <f t="shared" si="385"/>
        <v>97.259999999999991</v>
      </c>
      <c r="DN178" s="43">
        <f t="shared" si="385"/>
        <v>0</v>
      </c>
      <c r="DO178" s="104">
        <v>97.26</v>
      </c>
      <c r="DP178" s="114">
        <v>0</v>
      </c>
      <c r="DQ178" s="60">
        <f t="shared" si="386"/>
        <v>0</v>
      </c>
      <c r="DR178" s="60">
        <f t="shared" si="386"/>
        <v>0</v>
      </c>
      <c r="DS178" s="60">
        <f t="shared" si="387"/>
        <v>9.7260000000000009</v>
      </c>
      <c r="DT178" s="60">
        <f t="shared" si="387"/>
        <v>0</v>
      </c>
      <c r="DU178" s="60">
        <f t="shared" si="388"/>
        <v>9.7260000000000009</v>
      </c>
      <c r="DV178" s="60">
        <f t="shared" si="388"/>
        <v>0</v>
      </c>
      <c r="DW178" s="60"/>
      <c r="DX178" s="60"/>
      <c r="DY178" s="60">
        <f t="shared" si="389"/>
        <v>9.73</v>
      </c>
      <c r="DZ178" s="60">
        <f t="shared" si="389"/>
        <v>0</v>
      </c>
      <c r="EA178" s="60"/>
      <c r="EB178" s="60"/>
      <c r="EC178" s="43">
        <f t="shared" si="390"/>
        <v>106.99</v>
      </c>
      <c r="ED178" s="43">
        <f t="shared" si="390"/>
        <v>0</v>
      </c>
      <c r="EE178" s="43">
        <v>97.26</v>
      </c>
      <c r="EF178" s="43">
        <v>0</v>
      </c>
      <c r="EG178" s="43">
        <f t="shared" si="423"/>
        <v>90.91</v>
      </c>
      <c r="EH178" s="43" t="e">
        <f t="shared" si="423"/>
        <v>#DIV/0!</v>
      </c>
      <c r="EI178" s="43">
        <f t="shared" si="391"/>
        <v>9.73</v>
      </c>
      <c r="EJ178" s="43">
        <f t="shared" si="391"/>
        <v>0</v>
      </c>
      <c r="EK178" s="43">
        <f t="shared" si="392"/>
        <v>8.84</v>
      </c>
      <c r="EL178" s="43">
        <f t="shared" si="392"/>
        <v>0</v>
      </c>
      <c r="EM178" s="43">
        <f t="shared" si="393"/>
        <v>-0.89000000000000057</v>
      </c>
      <c r="EN178" s="43">
        <f t="shared" si="393"/>
        <v>0</v>
      </c>
      <c r="EO178" s="43">
        <v>7.51</v>
      </c>
      <c r="EP178" s="43">
        <v>0</v>
      </c>
      <c r="EQ178" s="5"/>
      <c r="ER178" s="5"/>
      <c r="ES178" s="5"/>
      <c r="ET178" s="5"/>
      <c r="EU178" s="5">
        <f t="shared" si="442"/>
        <v>0</v>
      </c>
      <c r="EV178" s="5">
        <f t="shared" si="442"/>
        <v>0</v>
      </c>
      <c r="EW178" s="49">
        <v>114.5</v>
      </c>
      <c r="EY178" s="5">
        <v>150.4</v>
      </c>
    </row>
    <row r="179" spans="1:160" ht="18.75" x14ac:dyDescent="0.25">
      <c r="A179" s="68"/>
      <c r="B179" s="68" t="s">
        <v>395</v>
      </c>
      <c r="C179" s="91" t="s">
        <v>136</v>
      </c>
      <c r="D179" s="67" t="s">
        <v>393</v>
      </c>
      <c r="E179" s="69" t="s">
        <v>396</v>
      </c>
      <c r="F179" s="70">
        <v>1072.0900000000001</v>
      </c>
      <c r="G179" s="70">
        <v>66.550000000000011</v>
      </c>
      <c r="H179" s="70">
        <v>1083.1200000000001</v>
      </c>
      <c r="I179" s="70">
        <v>111.57000000000002</v>
      </c>
      <c r="J179" s="71">
        <f>+J177+J178</f>
        <v>986.25</v>
      </c>
      <c r="K179" s="71">
        <f t="shared" ref="K179:AA179" si="479">+K177+K178</f>
        <v>0</v>
      </c>
      <c r="L179" s="71">
        <f t="shared" si="479"/>
        <v>0</v>
      </c>
      <c r="M179" s="71">
        <f t="shared" si="479"/>
        <v>986.25</v>
      </c>
      <c r="N179" s="71">
        <f t="shared" si="479"/>
        <v>0</v>
      </c>
      <c r="O179" s="71">
        <f t="shared" si="479"/>
        <v>0</v>
      </c>
      <c r="P179" s="71">
        <f t="shared" si="479"/>
        <v>0</v>
      </c>
      <c r="Q179" s="71">
        <f t="shared" si="479"/>
        <v>0</v>
      </c>
      <c r="R179" s="71">
        <f t="shared" si="479"/>
        <v>986.25</v>
      </c>
      <c r="S179" s="71">
        <f t="shared" si="479"/>
        <v>100</v>
      </c>
      <c r="T179" s="71">
        <f t="shared" si="479"/>
        <v>0</v>
      </c>
      <c r="U179" s="71">
        <f t="shared" si="479"/>
        <v>0</v>
      </c>
      <c r="V179" s="71">
        <f t="shared" si="479"/>
        <v>1146.27</v>
      </c>
      <c r="W179" s="71">
        <f t="shared" si="479"/>
        <v>115.22</v>
      </c>
      <c r="X179" s="71">
        <f t="shared" si="479"/>
        <v>-160.02000000000001</v>
      </c>
      <c r="Y179" s="71">
        <f t="shared" si="479"/>
        <v>-15.219999999999999</v>
      </c>
      <c r="Z179" s="71">
        <f t="shared" si="479"/>
        <v>986.25</v>
      </c>
      <c r="AA179" s="71">
        <f t="shared" si="479"/>
        <v>0</v>
      </c>
      <c r="AB179" s="70">
        <f t="shared" si="360"/>
        <v>986.25</v>
      </c>
      <c r="AC179" s="43">
        <f t="shared" si="361"/>
        <v>0</v>
      </c>
      <c r="AD179" s="70">
        <f t="shared" ref="AD179:CO179" si="480">+AD177+AD178</f>
        <v>986.25</v>
      </c>
      <c r="AE179" s="70">
        <f t="shared" si="480"/>
        <v>100</v>
      </c>
      <c r="AF179" s="70">
        <f t="shared" si="480"/>
        <v>90.22</v>
      </c>
      <c r="AG179" s="70">
        <f t="shared" si="480"/>
        <v>247</v>
      </c>
      <c r="AH179" s="70">
        <f t="shared" si="480"/>
        <v>25</v>
      </c>
      <c r="AI179" s="96">
        <f t="shared" si="480"/>
        <v>82</v>
      </c>
      <c r="AJ179" s="70">
        <f t="shared" si="480"/>
        <v>8</v>
      </c>
      <c r="AK179" s="70">
        <f t="shared" si="480"/>
        <v>0</v>
      </c>
      <c r="AL179" s="70">
        <f t="shared" si="480"/>
        <v>0</v>
      </c>
      <c r="AM179" s="70">
        <f t="shared" si="480"/>
        <v>246.56</v>
      </c>
      <c r="AN179" s="70">
        <f t="shared" si="480"/>
        <v>24.35</v>
      </c>
      <c r="AO179" s="70">
        <f t="shared" si="480"/>
        <v>0</v>
      </c>
      <c r="AP179" s="70">
        <f t="shared" si="480"/>
        <v>0</v>
      </c>
      <c r="AQ179" s="70">
        <f t="shared" si="480"/>
        <v>493.56</v>
      </c>
      <c r="AR179" s="70">
        <f t="shared" si="480"/>
        <v>49.35</v>
      </c>
      <c r="AS179" s="70">
        <f t="shared" si="480"/>
        <v>0</v>
      </c>
      <c r="AT179" s="70">
        <f t="shared" si="480"/>
        <v>0</v>
      </c>
      <c r="AU179" s="70">
        <f t="shared" si="480"/>
        <v>246.56</v>
      </c>
      <c r="AV179" s="70">
        <f t="shared" si="480"/>
        <v>25</v>
      </c>
      <c r="AW179" s="70">
        <f t="shared" si="480"/>
        <v>30</v>
      </c>
      <c r="AX179" s="70">
        <f t="shared" si="480"/>
        <v>0</v>
      </c>
      <c r="AY179" s="70">
        <f t="shared" si="480"/>
        <v>852.12</v>
      </c>
      <c r="AZ179" s="70">
        <f t="shared" si="480"/>
        <v>82.35</v>
      </c>
      <c r="BA179" s="70">
        <f t="shared" si="480"/>
        <v>934.47</v>
      </c>
      <c r="BB179" s="70">
        <f t="shared" si="480"/>
        <v>843.02</v>
      </c>
      <c r="BC179" s="70">
        <f t="shared" si="480"/>
        <v>23.77</v>
      </c>
      <c r="BD179" s="70">
        <f t="shared" si="480"/>
        <v>9.1000000000000227</v>
      </c>
      <c r="BE179" s="70">
        <f t="shared" si="480"/>
        <v>58.58</v>
      </c>
      <c r="BF179" s="70">
        <f t="shared" si="480"/>
        <v>168.6</v>
      </c>
      <c r="BG179" s="96">
        <f t="shared" si="480"/>
        <v>4.75</v>
      </c>
      <c r="BH179" s="96">
        <f t="shared" si="480"/>
        <v>79.75</v>
      </c>
      <c r="BI179" s="96">
        <f t="shared" si="480"/>
        <v>0</v>
      </c>
      <c r="BJ179" s="96">
        <f t="shared" si="480"/>
        <v>0</v>
      </c>
      <c r="BK179" s="96">
        <f t="shared" si="480"/>
        <v>0</v>
      </c>
      <c r="BL179" s="96">
        <f t="shared" si="480"/>
        <v>931.87000000000012</v>
      </c>
      <c r="BM179" s="96">
        <f t="shared" si="480"/>
        <v>82.35</v>
      </c>
      <c r="BN179" s="96">
        <f t="shared" si="480"/>
        <v>1014.22</v>
      </c>
      <c r="BO179" s="96">
        <f t="shared" si="480"/>
        <v>917.48</v>
      </c>
      <c r="BP179" s="96">
        <f t="shared" si="480"/>
        <v>25.16</v>
      </c>
      <c r="BQ179" s="70">
        <f t="shared" si="480"/>
        <v>14.390000000000043</v>
      </c>
      <c r="BR179" s="70">
        <f t="shared" si="480"/>
        <v>57.19</v>
      </c>
      <c r="BS179" s="70">
        <f t="shared" si="480"/>
        <v>83.4</v>
      </c>
      <c r="BT179" s="70">
        <f t="shared" si="480"/>
        <v>2.29</v>
      </c>
      <c r="BU179" s="70">
        <f t="shared" si="480"/>
        <v>69.009999999999962</v>
      </c>
      <c r="BV179" s="70">
        <f t="shared" si="480"/>
        <v>0</v>
      </c>
      <c r="BW179" s="70">
        <f t="shared" si="480"/>
        <v>7.82</v>
      </c>
      <c r="BX179" s="70">
        <f t="shared" si="480"/>
        <v>0</v>
      </c>
      <c r="BY179" s="70">
        <f t="shared" si="480"/>
        <v>55.45</v>
      </c>
      <c r="BZ179" s="70">
        <f t="shared" si="480"/>
        <v>0</v>
      </c>
      <c r="CA179" s="70">
        <f t="shared" si="480"/>
        <v>1008.7</v>
      </c>
      <c r="CB179" s="70">
        <f t="shared" si="480"/>
        <v>26.899999999999991</v>
      </c>
      <c r="CC179" s="70">
        <f t="shared" si="480"/>
        <v>1109.57</v>
      </c>
      <c r="CD179" s="70">
        <f t="shared" si="480"/>
        <v>30.94</v>
      </c>
      <c r="CE179" s="70">
        <f t="shared" si="480"/>
        <v>93</v>
      </c>
      <c r="CF179" s="70">
        <f t="shared" si="480"/>
        <v>3</v>
      </c>
      <c r="CG179" s="70">
        <f t="shared" si="480"/>
        <v>252.18</v>
      </c>
      <c r="CH179" s="96">
        <f t="shared" si="480"/>
        <v>6.73</v>
      </c>
      <c r="CI179" s="70">
        <f t="shared" si="480"/>
        <v>0</v>
      </c>
      <c r="CJ179" s="70">
        <f t="shared" si="480"/>
        <v>0</v>
      </c>
      <c r="CK179" s="70">
        <f t="shared" si="480"/>
        <v>264</v>
      </c>
      <c r="CL179" s="70">
        <f t="shared" si="480"/>
        <v>34</v>
      </c>
      <c r="CM179" s="70">
        <f t="shared" si="480"/>
        <v>0</v>
      </c>
      <c r="CN179" s="70">
        <f t="shared" si="480"/>
        <v>20</v>
      </c>
      <c r="CO179" s="70">
        <f t="shared" si="480"/>
        <v>1067.3</v>
      </c>
      <c r="CP179" s="70">
        <f t="shared" ref="CP179:EZ179" si="481">+CP177+CP178</f>
        <v>57</v>
      </c>
      <c r="CQ179" s="70">
        <f t="shared" si="481"/>
        <v>1056</v>
      </c>
      <c r="CR179" s="70">
        <f t="shared" si="481"/>
        <v>136</v>
      </c>
      <c r="CS179" s="70">
        <f t="shared" si="481"/>
        <v>1056</v>
      </c>
      <c r="CT179" s="70">
        <f t="shared" si="481"/>
        <v>57</v>
      </c>
      <c r="CU179" s="70">
        <f t="shared" si="481"/>
        <v>1034.5</v>
      </c>
      <c r="CV179" s="70">
        <f t="shared" si="481"/>
        <v>350</v>
      </c>
      <c r="CW179" s="70">
        <f t="shared" si="481"/>
        <v>258.63</v>
      </c>
      <c r="CX179" s="70">
        <f t="shared" si="481"/>
        <v>234</v>
      </c>
      <c r="CY179" s="70">
        <f t="shared" si="481"/>
        <v>0</v>
      </c>
      <c r="CZ179" s="70">
        <f t="shared" si="481"/>
        <v>0</v>
      </c>
      <c r="DA179" s="70">
        <f t="shared" si="481"/>
        <v>615.63</v>
      </c>
      <c r="DB179" s="70">
        <f t="shared" si="481"/>
        <v>291</v>
      </c>
      <c r="DC179" s="70">
        <f t="shared" si="481"/>
        <v>602.24</v>
      </c>
      <c r="DD179" s="70">
        <f t="shared" si="481"/>
        <v>272.63</v>
      </c>
      <c r="DE179" s="70">
        <f t="shared" si="481"/>
        <v>13.389999999999986</v>
      </c>
      <c r="DF179" s="70">
        <f t="shared" si="481"/>
        <v>18.370000000000005</v>
      </c>
      <c r="DG179" s="70">
        <f t="shared" si="481"/>
        <v>253.63</v>
      </c>
      <c r="DH179" s="70">
        <f t="shared" si="481"/>
        <v>87.5</v>
      </c>
      <c r="DI179" s="70">
        <f t="shared" si="481"/>
        <v>245.24</v>
      </c>
      <c r="DJ179" s="70">
        <f t="shared" si="481"/>
        <v>49.129999999999995</v>
      </c>
      <c r="DK179" s="70">
        <f t="shared" si="481"/>
        <v>0</v>
      </c>
      <c r="DL179" s="70">
        <f t="shared" si="481"/>
        <v>0</v>
      </c>
      <c r="DM179" s="70">
        <f t="shared" si="481"/>
        <v>860.87</v>
      </c>
      <c r="DN179" s="70">
        <f t="shared" si="481"/>
        <v>340.13</v>
      </c>
      <c r="DO179" s="70">
        <f t="shared" si="481"/>
        <v>851.18999999999994</v>
      </c>
      <c r="DP179" s="70">
        <f t="shared" si="481"/>
        <v>338.89</v>
      </c>
      <c r="DQ179" s="70">
        <f t="shared" si="481"/>
        <v>9.68</v>
      </c>
      <c r="DR179" s="70">
        <f t="shared" si="481"/>
        <v>1.24</v>
      </c>
      <c r="DS179" s="70">
        <f t="shared" si="481"/>
        <v>85.119</v>
      </c>
      <c r="DT179" s="70">
        <f t="shared" si="481"/>
        <v>33.888999999999996</v>
      </c>
      <c r="DU179" s="70">
        <f t="shared" si="481"/>
        <v>75.438999999999993</v>
      </c>
      <c r="DV179" s="70">
        <f t="shared" si="481"/>
        <v>32.648999999999994</v>
      </c>
      <c r="DW179" s="70">
        <f t="shared" si="481"/>
        <v>0</v>
      </c>
      <c r="DX179" s="70">
        <f t="shared" si="481"/>
        <v>0</v>
      </c>
      <c r="DY179" s="70">
        <f t="shared" si="481"/>
        <v>84.73</v>
      </c>
      <c r="DZ179" s="70">
        <f t="shared" si="481"/>
        <v>70</v>
      </c>
      <c r="EA179" s="70">
        <f t="shared" si="481"/>
        <v>0</v>
      </c>
      <c r="EB179" s="96">
        <f t="shared" si="481"/>
        <v>0</v>
      </c>
      <c r="EC179" s="70">
        <f t="shared" si="481"/>
        <v>945.6</v>
      </c>
      <c r="ED179" s="70">
        <f t="shared" si="481"/>
        <v>410.13</v>
      </c>
      <c r="EE179" s="70">
        <f t="shared" si="481"/>
        <v>920.35</v>
      </c>
      <c r="EF179" s="70">
        <f t="shared" si="481"/>
        <v>338.89</v>
      </c>
      <c r="EG179" s="70">
        <f t="shared" si="481"/>
        <v>189.06</v>
      </c>
      <c r="EH179" s="70" t="e">
        <f t="shared" si="481"/>
        <v>#DIV/0!</v>
      </c>
      <c r="EI179" s="70">
        <f t="shared" si="481"/>
        <v>25.25</v>
      </c>
      <c r="EJ179" s="70">
        <f t="shared" si="481"/>
        <v>71.239999999999995</v>
      </c>
      <c r="EK179" s="70">
        <f t="shared" si="481"/>
        <v>83.67</v>
      </c>
      <c r="EL179" s="70">
        <f t="shared" si="481"/>
        <v>30.81</v>
      </c>
      <c r="EM179" s="70">
        <f t="shared" si="481"/>
        <v>58.42</v>
      </c>
      <c r="EN179" s="70">
        <f t="shared" si="481"/>
        <v>-40.429999999999993</v>
      </c>
      <c r="EO179" s="70">
        <f t="shared" si="481"/>
        <v>68.900000000000006</v>
      </c>
      <c r="EP179" s="70">
        <f t="shared" si="481"/>
        <v>23.86</v>
      </c>
      <c r="EQ179" s="66">
        <f t="shared" si="481"/>
        <v>0</v>
      </c>
      <c r="ER179" s="46">
        <f t="shared" si="481"/>
        <v>0</v>
      </c>
      <c r="ES179" s="46">
        <f t="shared" si="481"/>
        <v>141.38999999999999</v>
      </c>
      <c r="ET179" s="66"/>
      <c r="EU179" s="5">
        <f t="shared" si="442"/>
        <v>0</v>
      </c>
      <c r="EV179" s="5">
        <f t="shared" si="442"/>
        <v>0</v>
      </c>
      <c r="EW179" s="46">
        <f t="shared" si="481"/>
        <v>1014.5</v>
      </c>
      <c r="EX179" s="46">
        <f t="shared" si="481"/>
        <v>433.99</v>
      </c>
      <c r="EY179" s="46">
        <f t="shared" si="481"/>
        <v>1184.4000000000001</v>
      </c>
      <c r="EZ179" s="46">
        <f t="shared" si="481"/>
        <v>100</v>
      </c>
    </row>
    <row r="180" spans="1:160" ht="18.75" x14ac:dyDescent="0.25">
      <c r="A180" s="68">
        <v>36</v>
      </c>
      <c r="B180" s="68" t="s">
        <v>397</v>
      </c>
      <c r="C180" s="91" t="s">
        <v>398</v>
      </c>
      <c r="D180" s="67" t="s">
        <v>399</v>
      </c>
      <c r="E180" s="69" t="s">
        <v>400</v>
      </c>
      <c r="F180" s="40">
        <v>331.71</v>
      </c>
      <c r="G180" s="40">
        <v>52.210000000000008</v>
      </c>
      <c r="H180" s="40">
        <v>331.71</v>
      </c>
      <c r="I180" s="70">
        <v>52.210000000000008</v>
      </c>
      <c r="J180" s="71">
        <v>350</v>
      </c>
      <c r="K180" s="71"/>
      <c r="L180" s="71"/>
      <c r="M180" s="71">
        <f>+L180+K180+J180</f>
        <v>350</v>
      </c>
      <c r="N180" s="71"/>
      <c r="O180" s="71"/>
      <c r="P180" s="71"/>
      <c r="Q180" s="71">
        <f>+P180+O180+N180</f>
        <v>0</v>
      </c>
      <c r="R180" s="71">
        <f>+Q180+M180</f>
        <v>350</v>
      </c>
      <c r="S180" s="71">
        <v>50</v>
      </c>
      <c r="T180" s="92"/>
      <c r="U180" s="92"/>
      <c r="V180" s="70">
        <f t="shared" ref="V180:V183" si="482">ROUND(H180*1.0583,2)</f>
        <v>351.05</v>
      </c>
      <c r="W180" s="70">
        <f t="shared" ref="W180:W183" si="483">ROUND(I180*1.0327,2)</f>
        <v>53.92</v>
      </c>
      <c r="X180" s="70">
        <f t="shared" si="352"/>
        <v>-1.0500000000000114</v>
      </c>
      <c r="Y180" s="70">
        <f t="shared" si="352"/>
        <v>-3.9200000000000017</v>
      </c>
      <c r="Z180" s="70">
        <v>350</v>
      </c>
      <c r="AA180" s="70">
        <v>0</v>
      </c>
      <c r="AB180" s="70">
        <f t="shared" si="360"/>
        <v>350</v>
      </c>
      <c r="AC180" s="43">
        <f t="shared" si="361"/>
        <v>0</v>
      </c>
      <c r="AD180" s="70">
        <f t="shared" ref="AD180:AE183" si="484">IF(X180&gt;0,V180,R180)</f>
        <v>350</v>
      </c>
      <c r="AE180" s="70">
        <f>IF(Y180&gt;0,W180,S180)-33</f>
        <v>17</v>
      </c>
      <c r="AF180" s="70">
        <f t="shared" si="373"/>
        <v>45.11</v>
      </c>
      <c r="AG180" s="43">
        <f t="shared" si="353"/>
        <v>88</v>
      </c>
      <c r="AH180" s="43">
        <v>13</v>
      </c>
      <c r="AI180" s="93">
        <f t="shared" si="354"/>
        <v>29</v>
      </c>
      <c r="AJ180" s="43">
        <v>4</v>
      </c>
      <c r="AK180" s="43"/>
      <c r="AL180" s="43"/>
      <c r="AM180" s="43">
        <f t="shared" si="374"/>
        <v>87.5</v>
      </c>
      <c r="AN180" s="43">
        <f>ROUND(AE180*24.35%,2)-4.14</f>
        <v>0</v>
      </c>
      <c r="AO180" s="43"/>
      <c r="AP180" s="43"/>
      <c r="AQ180" s="43">
        <f t="shared" si="355"/>
        <v>175.5</v>
      </c>
      <c r="AR180" s="43">
        <f t="shared" si="355"/>
        <v>13</v>
      </c>
      <c r="AS180" s="43">
        <v>50</v>
      </c>
      <c r="AT180" s="43"/>
      <c r="AU180" s="43">
        <f t="shared" si="424"/>
        <v>87.5</v>
      </c>
      <c r="AV180" s="43">
        <v>0</v>
      </c>
      <c r="AW180" s="43">
        <v>25</v>
      </c>
      <c r="AX180" s="43"/>
      <c r="AY180" s="43">
        <f t="shared" si="349"/>
        <v>367</v>
      </c>
      <c r="AZ180" s="43">
        <f t="shared" si="349"/>
        <v>17</v>
      </c>
      <c r="BA180" s="43">
        <f t="shared" si="356"/>
        <v>384</v>
      </c>
      <c r="BB180" s="60">
        <v>347.45</v>
      </c>
      <c r="BC180" s="60">
        <v>5.09</v>
      </c>
      <c r="BD180" s="60">
        <f t="shared" si="350"/>
        <v>19.550000000000011</v>
      </c>
      <c r="BE180" s="60">
        <f t="shared" si="350"/>
        <v>11.91</v>
      </c>
      <c r="BF180" s="60">
        <f t="shared" si="351"/>
        <v>69.489999999999995</v>
      </c>
      <c r="BG180" s="60">
        <f t="shared" si="351"/>
        <v>1.02</v>
      </c>
      <c r="BH180" s="43">
        <v>23.84</v>
      </c>
      <c r="BI180" s="43">
        <v>0</v>
      </c>
      <c r="BJ180" s="43"/>
      <c r="BK180" s="43"/>
      <c r="BL180" s="43">
        <f t="shared" si="358"/>
        <v>390.84</v>
      </c>
      <c r="BM180" s="43">
        <f t="shared" si="358"/>
        <v>17</v>
      </c>
      <c r="BN180" s="43">
        <f t="shared" si="376"/>
        <v>407.84</v>
      </c>
      <c r="BO180" s="43">
        <v>389.26</v>
      </c>
      <c r="BP180" s="93">
        <v>8.92</v>
      </c>
      <c r="BQ180" s="43">
        <f t="shared" si="377"/>
        <v>1.5799999999999841</v>
      </c>
      <c r="BR180" s="43">
        <f t="shared" si="377"/>
        <v>8.08</v>
      </c>
      <c r="BS180" s="43">
        <f t="shared" si="378"/>
        <v>35.39</v>
      </c>
      <c r="BT180" s="43">
        <f t="shared" si="378"/>
        <v>0.81</v>
      </c>
      <c r="BU180" s="43">
        <f t="shared" si="421"/>
        <v>33.810000000000016</v>
      </c>
      <c r="BV180" s="43">
        <v>0</v>
      </c>
      <c r="BW180" s="43"/>
      <c r="BX180" s="43"/>
      <c r="BY180" s="43"/>
      <c r="BZ180" s="43"/>
      <c r="CA180" s="43">
        <v>424.65</v>
      </c>
      <c r="CB180" s="43">
        <v>17</v>
      </c>
      <c r="CC180" s="92">
        <v>467.12</v>
      </c>
      <c r="CD180" s="92">
        <v>19.55</v>
      </c>
      <c r="CE180" s="92">
        <v>39</v>
      </c>
      <c r="CF180" s="92">
        <v>2</v>
      </c>
      <c r="CG180" s="92">
        <f t="shared" si="379"/>
        <v>106.16</v>
      </c>
      <c r="CH180" s="92">
        <f t="shared" si="379"/>
        <v>4.25</v>
      </c>
      <c r="CI180" s="43"/>
      <c r="CJ180" s="43"/>
      <c r="CK180" s="72">
        <f>150-20</f>
        <v>130</v>
      </c>
      <c r="CL180" s="43">
        <v>1.5</v>
      </c>
      <c r="CM180" s="43"/>
      <c r="CN180" s="43"/>
      <c r="CO180" s="43">
        <v>450</v>
      </c>
      <c r="CP180" s="43">
        <v>10</v>
      </c>
      <c r="CQ180" s="43">
        <f t="shared" si="380"/>
        <v>520</v>
      </c>
      <c r="CR180" s="43">
        <f t="shared" si="380"/>
        <v>6</v>
      </c>
      <c r="CS180" s="43">
        <f t="shared" si="381"/>
        <v>450</v>
      </c>
      <c r="CT180" s="43">
        <f t="shared" si="381"/>
        <v>6</v>
      </c>
      <c r="CU180" s="43">
        <f t="shared" si="381"/>
        <v>450</v>
      </c>
      <c r="CV180" s="43">
        <f t="shared" si="381"/>
        <v>6</v>
      </c>
      <c r="CW180" s="43">
        <f t="shared" si="382"/>
        <v>112.5</v>
      </c>
      <c r="CX180" s="43">
        <f>ROUND(CV180*25%,2)-1.5</f>
        <v>0</v>
      </c>
      <c r="CY180" s="43"/>
      <c r="CZ180" s="43"/>
      <c r="DA180" s="43">
        <f t="shared" si="383"/>
        <v>281.5</v>
      </c>
      <c r="DB180" s="43">
        <f t="shared" si="383"/>
        <v>3.5</v>
      </c>
      <c r="DC180" s="43">
        <v>267.18</v>
      </c>
      <c r="DD180" s="43">
        <v>3.02</v>
      </c>
      <c r="DE180" s="43">
        <f t="shared" si="384"/>
        <v>14.319999999999993</v>
      </c>
      <c r="DF180" s="43">
        <f t="shared" si="384"/>
        <v>0.48</v>
      </c>
      <c r="DG180" s="43">
        <f t="shared" ref="DG180:DH183" si="485">ROUND(0.25*(MIN(CU180,EW180)),2)</f>
        <v>112.5</v>
      </c>
      <c r="DH180" s="43">
        <f t="shared" si="485"/>
        <v>1.5</v>
      </c>
      <c r="DI180" s="43">
        <f>+DG180-DE180</f>
        <v>98.18</v>
      </c>
      <c r="DJ180" s="43">
        <f>+DH180-DF180</f>
        <v>1.02</v>
      </c>
      <c r="DK180" s="43">
        <v>25</v>
      </c>
      <c r="DL180" s="43">
        <v>1.48</v>
      </c>
      <c r="DM180" s="43">
        <f t="shared" si="385"/>
        <v>404.68</v>
      </c>
      <c r="DN180" s="43">
        <f t="shared" si="385"/>
        <v>6</v>
      </c>
      <c r="DO180" s="94">
        <v>396.18</v>
      </c>
      <c r="DP180" s="95">
        <v>4.04</v>
      </c>
      <c r="DQ180" s="60">
        <f t="shared" si="386"/>
        <v>8.5</v>
      </c>
      <c r="DR180" s="60">
        <f t="shared" si="386"/>
        <v>1.96</v>
      </c>
      <c r="DS180" s="60">
        <f t="shared" si="387"/>
        <v>39.618000000000002</v>
      </c>
      <c r="DT180" s="60">
        <f t="shared" si="387"/>
        <v>0.40400000000000003</v>
      </c>
      <c r="DU180" s="60">
        <f t="shared" si="388"/>
        <v>31.118000000000002</v>
      </c>
      <c r="DV180" s="60">
        <f t="shared" si="388"/>
        <v>-1.556</v>
      </c>
      <c r="DW180" s="60"/>
      <c r="DX180" s="60">
        <v>3.52</v>
      </c>
      <c r="DY180" s="60">
        <f t="shared" si="389"/>
        <v>31.12</v>
      </c>
      <c r="DZ180" s="60">
        <v>0</v>
      </c>
      <c r="EA180" s="60"/>
      <c r="EB180" s="60"/>
      <c r="EC180" s="43">
        <f t="shared" si="390"/>
        <v>435.8</v>
      </c>
      <c r="ED180" s="43">
        <f t="shared" si="390"/>
        <v>6</v>
      </c>
      <c r="EE180" s="43">
        <v>434.75</v>
      </c>
      <c r="EF180" s="43">
        <v>5.0599999999999996</v>
      </c>
      <c r="EG180" s="43">
        <f t="shared" si="423"/>
        <v>99.76</v>
      </c>
      <c r="EH180" s="43">
        <f t="shared" si="423"/>
        <v>84.33</v>
      </c>
      <c r="EI180" s="43">
        <f t="shared" si="391"/>
        <v>1.05</v>
      </c>
      <c r="EJ180" s="43">
        <f t="shared" si="391"/>
        <v>0.94</v>
      </c>
      <c r="EK180" s="43">
        <f t="shared" si="392"/>
        <v>39.520000000000003</v>
      </c>
      <c r="EL180" s="43">
        <f t="shared" si="392"/>
        <v>0.46</v>
      </c>
      <c r="EM180" s="43">
        <f t="shared" si="393"/>
        <v>38.470000000000006</v>
      </c>
      <c r="EN180" s="43">
        <f t="shared" si="393"/>
        <v>-0.47999999999999993</v>
      </c>
      <c r="EO180" s="43">
        <v>40</v>
      </c>
      <c r="EP180" s="43">
        <v>7</v>
      </c>
      <c r="EQ180" s="5"/>
      <c r="ER180" s="5"/>
      <c r="ES180" s="5"/>
      <c r="ET180" s="5"/>
      <c r="EU180" s="5">
        <f t="shared" si="442"/>
        <v>22.170000000000016</v>
      </c>
      <c r="EV180" s="5">
        <f t="shared" si="442"/>
        <v>-2.9800000000000004</v>
      </c>
      <c r="EW180" s="5">
        <v>497.97</v>
      </c>
      <c r="EX180" s="5">
        <v>10.02</v>
      </c>
      <c r="EY180" s="5">
        <v>550</v>
      </c>
      <c r="EZ180" s="5">
        <v>14</v>
      </c>
    </row>
    <row r="181" spans="1:160" ht="18.75" x14ac:dyDescent="0.25">
      <c r="A181" s="73">
        <v>37</v>
      </c>
      <c r="B181" s="68"/>
      <c r="C181" s="91" t="s">
        <v>188</v>
      </c>
      <c r="D181" s="38" t="s">
        <v>401</v>
      </c>
      <c r="E181" s="39"/>
      <c r="F181" s="40">
        <v>1235</v>
      </c>
      <c r="G181" s="40">
        <v>115.53</v>
      </c>
      <c r="H181" s="40">
        <v>1235</v>
      </c>
      <c r="I181" s="70">
        <v>115.53</v>
      </c>
      <c r="J181" s="41">
        <v>1475</v>
      </c>
      <c r="K181" s="41">
        <v>0</v>
      </c>
      <c r="L181" s="41">
        <v>0.5</v>
      </c>
      <c r="M181" s="41">
        <f t="shared" ref="M181:M183" si="486">J181+K181+L181</f>
        <v>1475.5</v>
      </c>
      <c r="N181" s="41">
        <v>0</v>
      </c>
      <c r="O181" s="41">
        <v>0</v>
      </c>
      <c r="P181" s="41">
        <v>0</v>
      </c>
      <c r="Q181" s="41">
        <f t="shared" ref="Q181:Q183" si="487">N181+O181+P181</f>
        <v>0</v>
      </c>
      <c r="R181" s="41">
        <f t="shared" ref="R181:R183" si="488">+Q181+M181</f>
        <v>1475.5</v>
      </c>
      <c r="S181" s="41">
        <v>80</v>
      </c>
      <c r="T181" s="92"/>
      <c r="U181" s="92"/>
      <c r="V181" s="70">
        <f t="shared" si="482"/>
        <v>1307</v>
      </c>
      <c r="W181" s="40">
        <f t="shared" si="483"/>
        <v>119.31</v>
      </c>
      <c r="X181" s="43">
        <f t="shared" si="352"/>
        <v>168.5</v>
      </c>
      <c r="Y181" s="43">
        <f t="shared" si="352"/>
        <v>-39.31</v>
      </c>
      <c r="Z181" s="43">
        <v>1307</v>
      </c>
      <c r="AA181" s="43"/>
      <c r="AB181" s="43">
        <f t="shared" si="360"/>
        <v>1307</v>
      </c>
      <c r="AC181" s="43">
        <f t="shared" si="361"/>
        <v>0</v>
      </c>
      <c r="AD181" s="43">
        <f t="shared" si="484"/>
        <v>1307</v>
      </c>
      <c r="AE181" s="43">
        <f t="shared" si="484"/>
        <v>80</v>
      </c>
      <c r="AF181" s="43">
        <f t="shared" si="373"/>
        <v>72.180000000000007</v>
      </c>
      <c r="AG181" s="43">
        <f t="shared" si="353"/>
        <v>327</v>
      </c>
      <c r="AH181" s="43">
        <f t="shared" si="353"/>
        <v>20</v>
      </c>
      <c r="AI181" s="93">
        <f t="shared" si="354"/>
        <v>109</v>
      </c>
      <c r="AJ181" s="43">
        <f t="shared" si="354"/>
        <v>7</v>
      </c>
      <c r="AK181" s="43"/>
      <c r="AL181" s="43"/>
      <c r="AM181" s="43">
        <f t="shared" si="374"/>
        <v>326.75</v>
      </c>
      <c r="AN181" s="43">
        <f t="shared" si="375"/>
        <v>19.48</v>
      </c>
      <c r="AO181" s="43"/>
      <c r="AP181" s="43"/>
      <c r="AQ181" s="43">
        <f>+AM181+AK181+AG181+AO181</f>
        <v>653.75</v>
      </c>
      <c r="AR181" s="43">
        <f t="shared" si="355"/>
        <v>39.480000000000004</v>
      </c>
      <c r="AS181" s="43">
        <v>140</v>
      </c>
      <c r="AT181" s="43">
        <v>10</v>
      </c>
      <c r="AU181" s="43">
        <f t="shared" si="424"/>
        <v>326.75</v>
      </c>
      <c r="AV181" s="43">
        <f t="shared" si="424"/>
        <v>20</v>
      </c>
      <c r="AW181" s="43">
        <v>90</v>
      </c>
      <c r="AX181" s="43"/>
      <c r="AY181" s="43">
        <f t="shared" si="349"/>
        <v>1319.5</v>
      </c>
      <c r="AZ181" s="43">
        <f t="shared" si="349"/>
        <v>76.48</v>
      </c>
      <c r="BA181" s="43">
        <f t="shared" si="356"/>
        <v>1395.98</v>
      </c>
      <c r="BB181" s="60">
        <v>1317.84</v>
      </c>
      <c r="BC181" s="60">
        <v>55.71</v>
      </c>
      <c r="BD181" s="60">
        <f t="shared" si="350"/>
        <v>1.6600000000000819</v>
      </c>
      <c r="BE181" s="60">
        <f t="shared" si="350"/>
        <v>20.770000000000003</v>
      </c>
      <c r="BF181" s="60">
        <f t="shared" si="351"/>
        <v>263.57</v>
      </c>
      <c r="BG181" s="60">
        <f t="shared" si="351"/>
        <v>11.14</v>
      </c>
      <c r="BH181" s="43">
        <v>119</v>
      </c>
      <c r="BI181" s="43">
        <v>0</v>
      </c>
      <c r="BJ181" s="43"/>
      <c r="BK181" s="43"/>
      <c r="BL181" s="43">
        <f t="shared" si="358"/>
        <v>1438.5</v>
      </c>
      <c r="BM181" s="43">
        <f t="shared" si="358"/>
        <v>76.48</v>
      </c>
      <c r="BN181" s="43">
        <f t="shared" si="376"/>
        <v>1514.98</v>
      </c>
      <c r="BO181" s="43">
        <v>1455.97</v>
      </c>
      <c r="BP181" s="93">
        <v>56.43</v>
      </c>
      <c r="BQ181" s="43">
        <f t="shared" si="377"/>
        <v>-17.470000000000027</v>
      </c>
      <c r="BR181" s="43">
        <f t="shared" si="377"/>
        <v>20.050000000000004</v>
      </c>
      <c r="BS181" s="43">
        <f t="shared" si="378"/>
        <v>132.36000000000001</v>
      </c>
      <c r="BT181" s="43">
        <f t="shared" si="378"/>
        <v>5.13</v>
      </c>
      <c r="BU181" s="43">
        <f t="shared" si="421"/>
        <v>149.83000000000004</v>
      </c>
      <c r="BV181" s="43">
        <f>0+27.77</f>
        <v>27.77</v>
      </c>
      <c r="BW181" s="43">
        <v>8.67</v>
      </c>
      <c r="BX181" s="43"/>
      <c r="BY181" s="43"/>
      <c r="BZ181" s="43"/>
      <c r="CA181" s="43">
        <v>1597</v>
      </c>
      <c r="CB181" s="43">
        <v>104.25</v>
      </c>
      <c r="CC181" s="92">
        <v>1756.7</v>
      </c>
      <c r="CD181" s="92">
        <v>119.89</v>
      </c>
      <c r="CE181" s="92">
        <v>146</v>
      </c>
      <c r="CF181" s="92">
        <v>10</v>
      </c>
      <c r="CG181" s="92">
        <f t="shared" si="379"/>
        <v>399.25</v>
      </c>
      <c r="CH181" s="92">
        <f t="shared" si="379"/>
        <v>26.06</v>
      </c>
      <c r="CI181" s="43"/>
      <c r="CJ181" s="43"/>
      <c r="CK181" s="43">
        <v>440</v>
      </c>
      <c r="CL181" s="43">
        <v>5</v>
      </c>
      <c r="CM181" s="43"/>
      <c r="CN181" s="43"/>
      <c r="CO181" s="43">
        <v>1700</v>
      </c>
      <c r="CP181" s="43">
        <v>60</v>
      </c>
      <c r="CQ181" s="43">
        <f t="shared" si="380"/>
        <v>1760</v>
      </c>
      <c r="CR181" s="43">
        <f t="shared" si="380"/>
        <v>20</v>
      </c>
      <c r="CS181" s="43">
        <f t="shared" si="381"/>
        <v>1700</v>
      </c>
      <c r="CT181" s="43">
        <f t="shared" si="381"/>
        <v>20</v>
      </c>
      <c r="CU181" s="43">
        <v>1825</v>
      </c>
      <c r="CV181" s="43">
        <v>60</v>
      </c>
      <c r="CW181" s="43">
        <f t="shared" si="382"/>
        <v>456.25</v>
      </c>
      <c r="CX181" s="43">
        <v>45</v>
      </c>
      <c r="CY181" s="43"/>
      <c r="CZ181" s="43"/>
      <c r="DA181" s="43">
        <f t="shared" si="383"/>
        <v>1042.25</v>
      </c>
      <c r="DB181" s="43">
        <f t="shared" si="383"/>
        <v>60</v>
      </c>
      <c r="DC181" s="43">
        <v>1054.43</v>
      </c>
      <c r="DD181" s="43">
        <v>4.1399999999999997</v>
      </c>
      <c r="DE181" s="43">
        <f t="shared" si="384"/>
        <v>-12.180000000000064</v>
      </c>
      <c r="DF181" s="43">
        <f t="shared" si="384"/>
        <v>55.86</v>
      </c>
      <c r="DG181" s="43">
        <f t="shared" si="485"/>
        <v>450</v>
      </c>
      <c r="DH181" s="43">
        <f t="shared" si="485"/>
        <v>15</v>
      </c>
      <c r="DI181" s="43">
        <f>+DG181-DE181</f>
        <v>462.18000000000006</v>
      </c>
      <c r="DJ181" s="43">
        <f>+DH181-DF181+40.86</f>
        <v>0</v>
      </c>
      <c r="DK181" s="43"/>
      <c r="DL181" s="43"/>
      <c r="DM181" s="43">
        <f t="shared" si="385"/>
        <v>1504.43</v>
      </c>
      <c r="DN181" s="43">
        <f t="shared" si="385"/>
        <v>60</v>
      </c>
      <c r="DO181" s="94">
        <v>1502.91</v>
      </c>
      <c r="DP181" s="95">
        <v>54.25</v>
      </c>
      <c r="DQ181" s="60">
        <f t="shared" si="386"/>
        <v>1.52</v>
      </c>
      <c r="DR181" s="60">
        <f t="shared" si="386"/>
        <v>5.75</v>
      </c>
      <c r="DS181" s="60">
        <f t="shared" si="387"/>
        <v>150.291</v>
      </c>
      <c r="DT181" s="60">
        <f t="shared" si="387"/>
        <v>5.4249999999999998</v>
      </c>
      <c r="DU181" s="60">
        <f t="shared" si="388"/>
        <v>148.77099999999999</v>
      </c>
      <c r="DV181" s="60">
        <f t="shared" si="388"/>
        <v>-0.32500000000000018</v>
      </c>
      <c r="DW181" s="60"/>
      <c r="DX181" s="60"/>
      <c r="DY181" s="60">
        <f t="shared" si="389"/>
        <v>148.77000000000001</v>
      </c>
      <c r="DZ181" s="60">
        <v>0</v>
      </c>
      <c r="EA181" s="60"/>
      <c r="EB181" s="60"/>
      <c r="EC181" s="43">
        <f t="shared" si="390"/>
        <v>1653.2</v>
      </c>
      <c r="ED181" s="43">
        <f t="shared" si="390"/>
        <v>60</v>
      </c>
      <c r="EE181" s="43">
        <v>1652.99</v>
      </c>
      <c r="EF181" s="43">
        <v>54.78</v>
      </c>
      <c r="EG181" s="43">
        <f t="shared" si="423"/>
        <v>99.99</v>
      </c>
      <c r="EH181" s="43">
        <f t="shared" si="423"/>
        <v>91.3</v>
      </c>
      <c r="EI181" s="43">
        <f t="shared" si="391"/>
        <v>0.21</v>
      </c>
      <c r="EJ181" s="43">
        <f t="shared" si="391"/>
        <v>5.22</v>
      </c>
      <c r="EK181" s="43">
        <f t="shared" si="392"/>
        <v>150.27000000000001</v>
      </c>
      <c r="EL181" s="43">
        <f t="shared" si="392"/>
        <v>4.9800000000000004</v>
      </c>
      <c r="EM181" s="43">
        <f t="shared" si="393"/>
        <v>150.06</v>
      </c>
      <c r="EN181" s="43">
        <f t="shared" si="393"/>
        <v>-0.23999999999999932</v>
      </c>
      <c r="EO181" s="43"/>
      <c r="EP181" s="43">
        <v>1.9</v>
      </c>
      <c r="EQ181" s="5"/>
      <c r="ER181" s="5"/>
      <c r="ES181" s="5"/>
      <c r="ET181" s="5"/>
      <c r="EU181" s="5">
        <f t="shared" si="442"/>
        <v>146.79999999999995</v>
      </c>
      <c r="EV181" s="5">
        <f t="shared" si="442"/>
        <v>-1.9</v>
      </c>
      <c r="EW181" s="5">
        <v>1800</v>
      </c>
      <c r="EX181" s="5">
        <v>60</v>
      </c>
      <c r="EY181" s="5">
        <v>1980</v>
      </c>
      <c r="EZ181" s="5">
        <v>75</v>
      </c>
    </row>
    <row r="182" spans="1:160" ht="37.5" x14ac:dyDescent="0.25">
      <c r="A182" s="37">
        <v>38</v>
      </c>
      <c r="B182" s="37"/>
      <c r="C182" s="91" t="s">
        <v>188</v>
      </c>
      <c r="D182" s="38" t="s">
        <v>402</v>
      </c>
      <c r="E182" s="39"/>
      <c r="F182" s="40">
        <v>345.74</v>
      </c>
      <c r="G182" s="40">
        <v>0</v>
      </c>
      <c r="H182" s="40">
        <v>345.74</v>
      </c>
      <c r="I182" s="40">
        <v>0</v>
      </c>
      <c r="J182" s="41">
        <v>420</v>
      </c>
      <c r="K182" s="41">
        <v>0</v>
      </c>
      <c r="L182" s="41">
        <v>0</v>
      </c>
      <c r="M182" s="41">
        <f t="shared" si="486"/>
        <v>420</v>
      </c>
      <c r="N182" s="41">
        <v>0</v>
      </c>
      <c r="O182" s="41">
        <v>0</v>
      </c>
      <c r="P182" s="41">
        <v>0</v>
      </c>
      <c r="Q182" s="41">
        <f t="shared" si="487"/>
        <v>0</v>
      </c>
      <c r="R182" s="41">
        <f t="shared" si="488"/>
        <v>420</v>
      </c>
      <c r="S182" s="41">
        <v>0</v>
      </c>
      <c r="T182" s="92"/>
      <c r="U182" s="92"/>
      <c r="V182" s="70">
        <f t="shared" si="482"/>
        <v>365.9</v>
      </c>
      <c r="W182" s="40">
        <f t="shared" si="483"/>
        <v>0</v>
      </c>
      <c r="X182" s="43">
        <f t="shared" si="352"/>
        <v>54.100000000000023</v>
      </c>
      <c r="Y182" s="43">
        <f t="shared" si="352"/>
        <v>0</v>
      </c>
      <c r="Z182" s="43">
        <v>365.9</v>
      </c>
      <c r="AA182" s="43"/>
      <c r="AB182" s="43">
        <f t="shared" si="360"/>
        <v>365.9</v>
      </c>
      <c r="AC182" s="43">
        <f t="shared" si="361"/>
        <v>0</v>
      </c>
      <c r="AD182" s="43">
        <f t="shared" si="484"/>
        <v>365.9</v>
      </c>
      <c r="AE182" s="43">
        <f t="shared" si="484"/>
        <v>0</v>
      </c>
      <c r="AF182" s="43">
        <f t="shared" si="373"/>
        <v>0</v>
      </c>
      <c r="AG182" s="43">
        <f t="shared" si="353"/>
        <v>91</v>
      </c>
      <c r="AH182" s="43">
        <f t="shared" si="353"/>
        <v>0</v>
      </c>
      <c r="AI182" s="93">
        <f t="shared" si="354"/>
        <v>30</v>
      </c>
      <c r="AJ182" s="43">
        <f t="shared" si="354"/>
        <v>0</v>
      </c>
      <c r="AK182" s="43"/>
      <c r="AL182" s="43"/>
      <c r="AM182" s="43">
        <f t="shared" si="374"/>
        <v>91.48</v>
      </c>
      <c r="AN182" s="43">
        <f t="shared" si="375"/>
        <v>0</v>
      </c>
      <c r="AO182" s="43"/>
      <c r="AP182" s="43"/>
      <c r="AQ182" s="43">
        <f t="shared" si="355"/>
        <v>182.48000000000002</v>
      </c>
      <c r="AR182" s="43">
        <f t="shared" si="355"/>
        <v>0</v>
      </c>
      <c r="AS182" s="43"/>
      <c r="AT182" s="43"/>
      <c r="AU182" s="43">
        <f t="shared" si="424"/>
        <v>91.48</v>
      </c>
      <c r="AV182" s="43">
        <f t="shared" si="424"/>
        <v>0</v>
      </c>
      <c r="AW182" s="43"/>
      <c r="AX182" s="43"/>
      <c r="AY182" s="43">
        <f t="shared" si="349"/>
        <v>303.96000000000004</v>
      </c>
      <c r="AZ182" s="43">
        <f t="shared" si="349"/>
        <v>0</v>
      </c>
      <c r="BA182" s="43">
        <f t="shared" si="356"/>
        <v>303.96000000000004</v>
      </c>
      <c r="BB182" s="60">
        <v>303.95999999999998</v>
      </c>
      <c r="BC182" s="60"/>
      <c r="BD182" s="60">
        <f t="shared" si="350"/>
        <v>0</v>
      </c>
      <c r="BE182" s="60">
        <f t="shared" si="350"/>
        <v>0</v>
      </c>
      <c r="BF182" s="60">
        <f t="shared" si="351"/>
        <v>60.79</v>
      </c>
      <c r="BG182" s="60">
        <f t="shared" si="351"/>
        <v>0</v>
      </c>
      <c r="BH182" s="43">
        <v>30.4</v>
      </c>
      <c r="BI182" s="43">
        <v>0</v>
      </c>
      <c r="BJ182" s="43"/>
      <c r="BK182" s="43"/>
      <c r="BL182" s="43">
        <f t="shared" si="358"/>
        <v>334.36</v>
      </c>
      <c r="BM182" s="43">
        <f t="shared" si="358"/>
        <v>0</v>
      </c>
      <c r="BN182" s="43">
        <f t="shared" si="376"/>
        <v>334.36</v>
      </c>
      <c r="BO182" s="43">
        <v>303.95999999999998</v>
      </c>
      <c r="BP182" s="93"/>
      <c r="BQ182" s="43">
        <f t="shared" si="377"/>
        <v>30.400000000000034</v>
      </c>
      <c r="BR182" s="43">
        <f t="shared" si="377"/>
        <v>0</v>
      </c>
      <c r="BS182" s="43">
        <f t="shared" si="378"/>
        <v>27.63</v>
      </c>
      <c r="BT182" s="43">
        <f t="shared" si="378"/>
        <v>0</v>
      </c>
      <c r="BU182" s="43">
        <v>30</v>
      </c>
      <c r="BV182" s="43">
        <v>0</v>
      </c>
      <c r="BW182" s="43">
        <v>1.54</v>
      </c>
      <c r="BX182" s="43"/>
      <c r="BY182" s="43"/>
      <c r="BZ182" s="43"/>
      <c r="CA182" s="43">
        <v>365.90000000000003</v>
      </c>
      <c r="CB182" s="43">
        <v>0</v>
      </c>
      <c r="CC182" s="92">
        <v>402.49</v>
      </c>
      <c r="CD182" s="92">
        <v>0</v>
      </c>
      <c r="CE182" s="92">
        <v>34</v>
      </c>
      <c r="CF182" s="92">
        <v>0</v>
      </c>
      <c r="CG182" s="92">
        <f t="shared" si="379"/>
        <v>91.48</v>
      </c>
      <c r="CH182" s="92">
        <f t="shared" si="379"/>
        <v>0</v>
      </c>
      <c r="CI182" s="43"/>
      <c r="CJ182" s="43"/>
      <c r="CK182" s="43">
        <v>106.25</v>
      </c>
      <c r="CL182" s="43"/>
      <c r="CM182" s="43"/>
      <c r="CN182" s="43"/>
      <c r="CO182" s="43">
        <v>425</v>
      </c>
      <c r="CP182" s="43"/>
      <c r="CQ182" s="43">
        <f t="shared" si="380"/>
        <v>425</v>
      </c>
      <c r="CR182" s="43">
        <f t="shared" si="380"/>
        <v>0</v>
      </c>
      <c r="CS182" s="43">
        <f t="shared" si="381"/>
        <v>425</v>
      </c>
      <c r="CT182" s="43">
        <f t="shared" si="381"/>
        <v>0</v>
      </c>
      <c r="CU182" s="43">
        <f t="shared" si="381"/>
        <v>425</v>
      </c>
      <c r="CV182" s="43">
        <f t="shared" si="381"/>
        <v>0</v>
      </c>
      <c r="CW182" s="43">
        <f t="shared" si="382"/>
        <v>106.25</v>
      </c>
      <c r="CX182" s="43">
        <f t="shared" si="382"/>
        <v>0</v>
      </c>
      <c r="CY182" s="43"/>
      <c r="CZ182" s="43"/>
      <c r="DA182" s="43">
        <f t="shared" si="383"/>
        <v>246.5</v>
      </c>
      <c r="DB182" s="43">
        <f t="shared" si="383"/>
        <v>0</v>
      </c>
      <c r="DC182" s="43">
        <v>183.11</v>
      </c>
      <c r="DD182" s="43">
        <v>0</v>
      </c>
      <c r="DE182" s="43">
        <f t="shared" si="384"/>
        <v>63.389999999999986</v>
      </c>
      <c r="DF182" s="43">
        <f t="shared" si="384"/>
        <v>0</v>
      </c>
      <c r="DG182" s="43">
        <f t="shared" si="485"/>
        <v>106.25</v>
      </c>
      <c r="DH182" s="43">
        <f t="shared" si="485"/>
        <v>0</v>
      </c>
      <c r="DI182" s="43">
        <f>+DG182-DE182</f>
        <v>42.860000000000014</v>
      </c>
      <c r="DJ182" s="43">
        <f>+DH182-DF182</f>
        <v>0</v>
      </c>
      <c r="DK182" s="43"/>
      <c r="DL182" s="43"/>
      <c r="DM182" s="43">
        <f t="shared" si="385"/>
        <v>289.36</v>
      </c>
      <c r="DN182" s="43">
        <f t="shared" si="385"/>
        <v>0</v>
      </c>
      <c r="DO182" s="94">
        <v>256.24</v>
      </c>
      <c r="DP182" s="95">
        <v>0</v>
      </c>
      <c r="DQ182" s="60">
        <f t="shared" si="386"/>
        <v>33.119999999999997</v>
      </c>
      <c r="DR182" s="60">
        <f t="shared" si="386"/>
        <v>0</v>
      </c>
      <c r="DS182" s="60">
        <f t="shared" si="387"/>
        <v>25.624000000000002</v>
      </c>
      <c r="DT182" s="60">
        <f t="shared" si="387"/>
        <v>0</v>
      </c>
      <c r="DU182" s="60">
        <f t="shared" si="388"/>
        <v>-7.4959999999999951</v>
      </c>
      <c r="DV182" s="60">
        <f t="shared" si="388"/>
        <v>0</v>
      </c>
      <c r="DW182" s="60"/>
      <c r="DX182" s="60"/>
      <c r="DY182" s="60">
        <v>0</v>
      </c>
      <c r="DZ182" s="60">
        <f t="shared" si="389"/>
        <v>0</v>
      </c>
      <c r="EA182" s="60">
        <v>62.13</v>
      </c>
      <c r="EB182" s="60"/>
      <c r="EC182" s="43">
        <f t="shared" si="390"/>
        <v>351.49</v>
      </c>
      <c r="ED182" s="43">
        <f t="shared" si="390"/>
        <v>0</v>
      </c>
      <c r="EE182" s="43">
        <v>256.24</v>
      </c>
      <c r="EF182" s="43">
        <v>0</v>
      </c>
      <c r="EG182" s="43">
        <f t="shared" si="423"/>
        <v>72.900000000000006</v>
      </c>
      <c r="EH182" s="43" t="e">
        <f t="shared" si="423"/>
        <v>#DIV/0!</v>
      </c>
      <c r="EI182" s="43">
        <f t="shared" si="391"/>
        <v>95.25</v>
      </c>
      <c r="EJ182" s="43">
        <f t="shared" si="391"/>
        <v>0</v>
      </c>
      <c r="EK182" s="43">
        <f t="shared" si="392"/>
        <v>23.29</v>
      </c>
      <c r="EL182" s="43">
        <f t="shared" si="392"/>
        <v>0</v>
      </c>
      <c r="EM182" s="43">
        <f t="shared" si="393"/>
        <v>-71.960000000000008</v>
      </c>
      <c r="EN182" s="43">
        <f t="shared" si="393"/>
        <v>0</v>
      </c>
      <c r="EO182" s="43"/>
      <c r="EP182" s="43">
        <v>0</v>
      </c>
      <c r="EQ182" s="5"/>
      <c r="ER182" s="5"/>
      <c r="ES182" s="5"/>
      <c r="ET182" s="5"/>
      <c r="EU182" s="5">
        <f t="shared" si="442"/>
        <v>73.509999999999991</v>
      </c>
      <c r="EV182" s="5">
        <f t="shared" si="442"/>
        <v>0</v>
      </c>
      <c r="EW182" s="5">
        <v>425</v>
      </c>
      <c r="EY182" s="5">
        <v>470</v>
      </c>
    </row>
    <row r="183" spans="1:160" ht="37.5" x14ac:dyDescent="0.25">
      <c r="A183" s="37">
        <v>39</v>
      </c>
      <c r="B183" s="37"/>
      <c r="C183" s="91" t="s">
        <v>188</v>
      </c>
      <c r="D183" s="38" t="s">
        <v>403</v>
      </c>
      <c r="E183" s="39"/>
      <c r="F183" s="40">
        <v>0</v>
      </c>
      <c r="G183" s="40">
        <v>0</v>
      </c>
      <c r="H183" s="40">
        <v>0</v>
      </c>
      <c r="I183" s="40">
        <v>0</v>
      </c>
      <c r="J183" s="41">
        <v>0</v>
      </c>
      <c r="K183" s="41">
        <v>0</v>
      </c>
      <c r="L183" s="41">
        <v>0</v>
      </c>
      <c r="M183" s="41">
        <f t="shared" si="486"/>
        <v>0</v>
      </c>
      <c r="N183" s="41">
        <v>0</v>
      </c>
      <c r="O183" s="41">
        <v>0</v>
      </c>
      <c r="P183" s="41">
        <v>0</v>
      </c>
      <c r="Q183" s="41">
        <f t="shared" si="487"/>
        <v>0</v>
      </c>
      <c r="R183" s="41">
        <f t="shared" si="488"/>
        <v>0</v>
      </c>
      <c r="S183" s="41">
        <v>0</v>
      </c>
      <c r="T183" s="92"/>
      <c r="U183" s="92"/>
      <c r="V183" s="70">
        <f t="shared" si="482"/>
        <v>0</v>
      </c>
      <c r="W183" s="40">
        <f t="shared" si="483"/>
        <v>0</v>
      </c>
      <c r="X183" s="43">
        <f t="shared" si="352"/>
        <v>0</v>
      </c>
      <c r="Y183" s="43">
        <f t="shared" si="352"/>
        <v>0</v>
      </c>
      <c r="Z183" s="43">
        <v>0</v>
      </c>
      <c r="AA183" s="43"/>
      <c r="AB183" s="43">
        <f t="shared" si="360"/>
        <v>0</v>
      </c>
      <c r="AC183" s="43">
        <f t="shared" si="361"/>
        <v>0</v>
      </c>
      <c r="AD183" s="43">
        <f t="shared" si="484"/>
        <v>0</v>
      </c>
      <c r="AE183" s="43">
        <f t="shared" si="484"/>
        <v>0</v>
      </c>
      <c r="AF183" s="43">
        <f t="shared" si="373"/>
        <v>0</v>
      </c>
      <c r="AG183" s="43">
        <f t="shared" si="353"/>
        <v>0</v>
      </c>
      <c r="AH183" s="43">
        <f t="shared" si="353"/>
        <v>0</v>
      </c>
      <c r="AI183" s="93">
        <f t="shared" si="354"/>
        <v>0</v>
      </c>
      <c r="AJ183" s="43">
        <f t="shared" si="354"/>
        <v>0</v>
      </c>
      <c r="AK183" s="43"/>
      <c r="AL183" s="43"/>
      <c r="AM183" s="43">
        <f t="shared" si="374"/>
        <v>0</v>
      </c>
      <c r="AN183" s="43">
        <f t="shared" si="375"/>
        <v>0</v>
      </c>
      <c r="AO183" s="43"/>
      <c r="AP183" s="43"/>
      <c r="AQ183" s="43">
        <f t="shared" si="355"/>
        <v>0</v>
      </c>
      <c r="AR183" s="43">
        <f t="shared" si="355"/>
        <v>0</v>
      </c>
      <c r="AS183" s="43"/>
      <c r="AT183" s="43"/>
      <c r="AU183" s="43">
        <f t="shared" si="424"/>
        <v>0</v>
      </c>
      <c r="AV183" s="43">
        <f t="shared" si="424"/>
        <v>0</v>
      </c>
      <c r="AW183" s="43"/>
      <c r="AX183" s="43"/>
      <c r="AY183" s="43">
        <f t="shared" si="349"/>
        <v>0</v>
      </c>
      <c r="AZ183" s="43">
        <f t="shared" si="349"/>
        <v>0</v>
      </c>
      <c r="BA183" s="43">
        <f t="shared" si="356"/>
        <v>0</v>
      </c>
      <c r="BB183" s="60">
        <v>0</v>
      </c>
      <c r="BC183" s="60"/>
      <c r="BD183" s="60">
        <f t="shared" si="350"/>
        <v>0</v>
      </c>
      <c r="BE183" s="60">
        <f t="shared" si="350"/>
        <v>0</v>
      </c>
      <c r="BF183" s="60">
        <f t="shared" si="351"/>
        <v>0</v>
      </c>
      <c r="BG183" s="60">
        <f t="shared" si="351"/>
        <v>0</v>
      </c>
      <c r="BH183" s="43">
        <v>0</v>
      </c>
      <c r="BI183" s="43">
        <v>0</v>
      </c>
      <c r="BJ183" s="43"/>
      <c r="BK183" s="43"/>
      <c r="BL183" s="43">
        <f t="shared" si="358"/>
        <v>0</v>
      </c>
      <c r="BM183" s="43">
        <f t="shared" si="358"/>
        <v>0</v>
      </c>
      <c r="BN183" s="43">
        <f t="shared" si="376"/>
        <v>0</v>
      </c>
      <c r="BO183" s="43">
        <v>0</v>
      </c>
      <c r="BP183" s="93"/>
      <c r="BQ183" s="43">
        <f t="shared" si="377"/>
        <v>0</v>
      </c>
      <c r="BR183" s="43">
        <f t="shared" si="377"/>
        <v>0</v>
      </c>
      <c r="BS183" s="43">
        <f t="shared" si="378"/>
        <v>0</v>
      </c>
      <c r="BT183" s="43">
        <f t="shared" si="378"/>
        <v>0</v>
      </c>
      <c r="BU183" s="43">
        <f t="shared" si="421"/>
        <v>0</v>
      </c>
      <c r="BV183" s="43">
        <v>0</v>
      </c>
      <c r="BW183" s="43"/>
      <c r="BX183" s="43"/>
      <c r="BY183" s="43"/>
      <c r="BZ183" s="43"/>
      <c r="CA183" s="43">
        <v>0</v>
      </c>
      <c r="CB183" s="43">
        <v>0</v>
      </c>
      <c r="CC183" s="92">
        <v>0</v>
      </c>
      <c r="CD183" s="92">
        <v>0</v>
      </c>
      <c r="CE183" s="92">
        <v>0</v>
      </c>
      <c r="CF183" s="92">
        <v>0</v>
      </c>
      <c r="CG183" s="92">
        <f t="shared" si="379"/>
        <v>0</v>
      </c>
      <c r="CH183" s="92">
        <f t="shared" si="379"/>
        <v>0</v>
      </c>
      <c r="CI183" s="43"/>
      <c r="CJ183" s="43"/>
      <c r="CK183" s="43">
        <v>0</v>
      </c>
      <c r="CL183" s="43">
        <v>0</v>
      </c>
      <c r="CM183" s="43"/>
      <c r="CN183" s="43"/>
      <c r="CO183" s="43"/>
      <c r="CP183" s="43"/>
      <c r="CQ183" s="43">
        <f t="shared" si="380"/>
        <v>0</v>
      </c>
      <c r="CR183" s="43">
        <f t="shared" si="380"/>
        <v>0</v>
      </c>
      <c r="CS183" s="43">
        <f t="shared" si="381"/>
        <v>0</v>
      </c>
      <c r="CT183" s="43">
        <f t="shared" si="381"/>
        <v>0</v>
      </c>
      <c r="CU183" s="43">
        <f t="shared" si="381"/>
        <v>0</v>
      </c>
      <c r="CV183" s="43">
        <f t="shared" si="381"/>
        <v>0</v>
      </c>
      <c r="CW183" s="43">
        <f t="shared" si="382"/>
        <v>0</v>
      </c>
      <c r="CX183" s="43">
        <f t="shared" si="382"/>
        <v>0</v>
      </c>
      <c r="CY183" s="43"/>
      <c r="CZ183" s="43"/>
      <c r="DA183" s="43">
        <f t="shared" si="383"/>
        <v>0</v>
      </c>
      <c r="DB183" s="43">
        <f t="shared" si="383"/>
        <v>0</v>
      </c>
      <c r="DC183" s="43">
        <v>0</v>
      </c>
      <c r="DD183" s="43">
        <v>0</v>
      </c>
      <c r="DE183" s="43">
        <f t="shared" si="384"/>
        <v>0</v>
      </c>
      <c r="DF183" s="43">
        <f t="shared" si="384"/>
        <v>0</v>
      </c>
      <c r="DG183" s="43">
        <f t="shared" si="485"/>
        <v>0</v>
      </c>
      <c r="DH183" s="43">
        <f t="shared" si="485"/>
        <v>0</v>
      </c>
      <c r="DI183" s="43">
        <f>+DG183-DE183</f>
        <v>0</v>
      </c>
      <c r="DJ183" s="43">
        <f>+DH183-DF183</f>
        <v>0</v>
      </c>
      <c r="DK183" s="43"/>
      <c r="DL183" s="43"/>
      <c r="DM183" s="43">
        <f t="shared" si="385"/>
        <v>0</v>
      </c>
      <c r="DN183" s="43">
        <f t="shared" si="385"/>
        <v>0</v>
      </c>
      <c r="DO183" s="94">
        <v>0</v>
      </c>
      <c r="DP183" s="103">
        <v>0</v>
      </c>
      <c r="DQ183" s="60">
        <f t="shared" si="386"/>
        <v>0</v>
      </c>
      <c r="DR183" s="60">
        <f t="shared" si="386"/>
        <v>0</v>
      </c>
      <c r="DS183" s="60">
        <f t="shared" si="387"/>
        <v>0</v>
      </c>
      <c r="DT183" s="60">
        <f t="shared" si="387"/>
        <v>0</v>
      </c>
      <c r="DU183" s="60">
        <f t="shared" si="388"/>
        <v>0</v>
      </c>
      <c r="DV183" s="60">
        <f t="shared" si="388"/>
        <v>0</v>
      </c>
      <c r="DW183" s="60"/>
      <c r="DX183" s="60"/>
      <c r="DY183" s="60">
        <f t="shared" si="389"/>
        <v>0</v>
      </c>
      <c r="DZ183" s="60">
        <f t="shared" si="389"/>
        <v>0</v>
      </c>
      <c r="EA183" s="60"/>
      <c r="EB183" s="60"/>
      <c r="EC183" s="43">
        <f t="shared" si="390"/>
        <v>0</v>
      </c>
      <c r="ED183" s="43">
        <f t="shared" si="390"/>
        <v>0</v>
      </c>
      <c r="EE183" s="43">
        <v>0</v>
      </c>
      <c r="EF183" s="43">
        <v>0</v>
      </c>
      <c r="EG183" s="43" t="e">
        <f t="shared" si="423"/>
        <v>#DIV/0!</v>
      </c>
      <c r="EH183" s="43" t="e">
        <f t="shared" si="423"/>
        <v>#DIV/0!</v>
      </c>
      <c r="EI183" s="43">
        <f t="shared" si="391"/>
        <v>0</v>
      </c>
      <c r="EJ183" s="43">
        <f t="shared" si="391"/>
        <v>0</v>
      </c>
      <c r="EK183" s="43">
        <f t="shared" si="392"/>
        <v>0</v>
      </c>
      <c r="EL183" s="43">
        <f t="shared" si="392"/>
        <v>0</v>
      </c>
      <c r="EM183" s="43">
        <f t="shared" si="393"/>
        <v>0</v>
      </c>
      <c r="EN183" s="43">
        <f t="shared" si="393"/>
        <v>0</v>
      </c>
      <c r="EO183" s="43"/>
      <c r="EP183" s="43">
        <v>0</v>
      </c>
      <c r="EQ183" s="5"/>
      <c r="ER183" s="5"/>
      <c r="ES183" s="5"/>
      <c r="ET183" s="5"/>
      <c r="EU183" s="5">
        <f t="shared" si="442"/>
        <v>0</v>
      </c>
      <c r="EV183" s="5">
        <f t="shared" si="442"/>
        <v>0</v>
      </c>
      <c r="EW183" s="5">
        <v>0</v>
      </c>
      <c r="EX183" s="5">
        <v>0</v>
      </c>
      <c r="EY183" s="5">
        <v>0</v>
      </c>
      <c r="EZ183" s="5">
        <v>0</v>
      </c>
    </row>
    <row r="184" spans="1:160" ht="18.75" x14ac:dyDescent="0.25">
      <c r="A184" s="68"/>
      <c r="B184" s="68" t="s">
        <v>404</v>
      </c>
      <c r="C184" s="91" t="s">
        <v>188</v>
      </c>
      <c r="D184" s="67" t="s">
        <v>401</v>
      </c>
      <c r="E184" s="69" t="s">
        <v>405</v>
      </c>
      <c r="F184" s="70">
        <v>1580.74</v>
      </c>
      <c r="G184" s="70">
        <v>115.53</v>
      </c>
      <c r="H184" s="70">
        <v>1580.74</v>
      </c>
      <c r="I184" s="70">
        <v>115.53</v>
      </c>
      <c r="J184" s="71">
        <f t="shared" ref="J184:AA184" si="489">+J181+J182+J183</f>
        <v>1895</v>
      </c>
      <c r="K184" s="71">
        <f t="shared" si="489"/>
        <v>0</v>
      </c>
      <c r="L184" s="71">
        <f t="shared" si="489"/>
        <v>0.5</v>
      </c>
      <c r="M184" s="71">
        <f t="shared" si="489"/>
        <v>1895.5</v>
      </c>
      <c r="N184" s="71">
        <f t="shared" si="489"/>
        <v>0</v>
      </c>
      <c r="O184" s="71">
        <f t="shared" si="489"/>
        <v>0</v>
      </c>
      <c r="P184" s="71">
        <f t="shared" si="489"/>
        <v>0</v>
      </c>
      <c r="Q184" s="71">
        <f t="shared" si="489"/>
        <v>0</v>
      </c>
      <c r="R184" s="71">
        <f t="shared" si="489"/>
        <v>1895.5</v>
      </c>
      <c r="S184" s="71">
        <f t="shared" si="489"/>
        <v>80</v>
      </c>
      <c r="T184" s="71">
        <f t="shared" si="489"/>
        <v>0</v>
      </c>
      <c r="U184" s="71">
        <f t="shared" si="489"/>
        <v>0</v>
      </c>
      <c r="V184" s="71">
        <f t="shared" si="489"/>
        <v>1672.9</v>
      </c>
      <c r="W184" s="71">
        <f t="shared" si="489"/>
        <v>119.31</v>
      </c>
      <c r="X184" s="71">
        <f t="shared" si="489"/>
        <v>222.60000000000002</v>
      </c>
      <c r="Y184" s="71">
        <f t="shared" si="489"/>
        <v>-39.31</v>
      </c>
      <c r="Z184" s="71">
        <f t="shared" si="489"/>
        <v>1672.9</v>
      </c>
      <c r="AA184" s="71">
        <f t="shared" si="489"/>
        <v>0</v>
      </c>
      <c r="AB184" s="70">
        <f t="shared" si="360"/>
        <v>1672.9</v>
      </c>
      <c r="AC184" s="43">
        <f t="shared" si="361"/>
        <v>0</v>
      </c>
      <c r="AD184" s="70">
        <f t="shared" ref="AD184:CO184" si="490">+AD181+AD182+AD183</f>
        <v>1672.9</v>
      </c>
      <c r="AE184" s="70">
        <f t="shared" si="490"/>
        <v>80</v>
      </c>
      <c r="AF184" s="70">
        <f t="shared" si="490"/>
        <v>72.180000000000007</v>
      </c>
      <c r="AG184" s="70">
        <f t="shared" si="490"/>
        <v>418</v>
      </c>
      <c r="AH184" s="70">
        <f t="shared" si="490"/>
        <v>20</v>
      </c>
      <c r="AI184" s="96">
        <f t="shared" si="490"/>
        <v>139</v>
      </c>
      <c r="AJ184" s="70">
        <f t="shared" si="490"/>
        <v>7</v>
      </c>
      <c r="AK184" s="70">
        <f t="shared" si="490"/>
        <v>0</v>
      </c>
      <c r="AL184" s="70">
        <f t="shared" si="490"/>
        <v>0</v>
      </c>
      <c r="AM184" s="70">
        <f t="shared" si="490"/>
        <v>418.23</v>
      </c>
      <c r="AN184" s="70">
        <f t="shared" si="490"/>
        <v>19.48</v>
      </c>
      <c r="AO184" s="70">
        <f t="shared" si="490"/>
        <v>0</v>
      </c>
      <c r="AP184" s="70">
        <f t="shared" si="490"/>
        <v>0</v>
      </c>
      <c r="AQ184" s="70">
        <f t="shared" si="490"/>
        <v>836.23</v>
      </c>
      <c r="AR184" s="70">
        <f t="shared" si="490"/>
        <v>39.480000000000004</v>
      </c>
      <c r="AS184" s="70">
        <f t="shared" si="490"/>
        <v>140</v>
      </c>
      <c r="AT184" s="70">
        <f t="shared" si="490"/>
        <v>10</v>
      </c>
      <c r="AU184" s="70">
        <f t="shared" si="490"/>
        <v>418.23</v>
      </c>
      <c r="AV184" s="70">
        <f t="shared" si="490"/>
        <v>20</v>
      </c>
      <c r="AW184" s="70">
        <f t="shared" si="490"/>
        <v>90</v>
      </c>
      <c r="AX184" s="70">
        <f t="shared" si="490"/>
        <v>0</v>
      </c>
      <c r="AY184" s="70">
        <f t="shared" si="490"/>
        <v>1623.46</v>
      </c>
      <c r="AZ184" s="70">
        <f t="shared" si="490"/>
        <v>76.48</v>
      </c>
      <c r="BA184" s="70">
        <f t="shared" si="490"/>
        <v>1699.94</v>
      </c>
      <c r="BB184" s="70">
        <f t="shared" si="490"/>
        <v>1621.8</v>
      </c>
      <c r="BC184" s="70">
        <f t="shared" si="490"/>
        <v>55.71</v>
      </c>
      <c r="BD184" s="70">
        <f t="shared" si="490"/>
        <v>1.6600000000000819</v>
      </c>
      <c r="BE184" s="70">
        <f t="shared" si="490"/>
        <v>20.770000000000003</v>
      </c>
      <c r="BF184" s="70">
        <f t="shared" si="490"/>
        <v>324.36</v>
      </c>
      <c r="BG184" s="96">
        <f t="shared" si="490"/>
        <v>11.14</v>
      </c>
      <c r="BH184" s="96">
        <f t="shared" si="490"/>
        <v>149.4</v>
      </c>
      <c r="BI184" s="96">
        <f t="shared" si="490"/>
        <v>0</v>
      </c>
      <c r="BJ184" s="96">
        <f t="shared" si="490"/>
        <v>0</v>
      </c>
      <c r="BK184" s="96">
        <f t="shared" si="490"/>
        <v>0</v>
      </c>
      <c r="BL184" s="96">
        <f t="shared" si="490"/>
        <v>1772.8600000000001</v>
      </c>
      <c r="BM184" s="96">
        <f t="shared" si="490"/>
        <v>76.48</v>
      </c>
      <c r="BN184" s="96">
        <f t="shared" si="490"/>
        <v>1849.3400000000001</v>
      </c>
      <c r="BO184" s="96">
        <f t="shared" si="490"/>
        <v>1759.93</v>
      </c>
      <c r="BP184" s="96">
        <f t="shared" si="490"/>
        <v>56.43</v>
      </c>
      <c r="BQ184" s="70">
        <f t="shared" si="490"/>
        <v>12.930000000000007</v>
      </c>
      <c r="BR184" s="70">
        <f t="shared" si="490"/>
        <v>20.050000000000004</v>
      </c>
      <c r="BS184" s="70">
        <f t="shared" si="490"/>
        <v>159.99</v>
      </c>
      <c r="BT184" s="70">
        <f t="shared" si="490"/>
        <v>5.13</v>
      </c>
      <c r="BU184" s="70">
        <f t="shared" si="490"/>
        <v>179.83000000000004</v>
      </c>
      <c r="BV184" s="70">
        <f t="shared" si="490"/>
        <v>27.77</v>
      </c>
      <c r="BW184" s="70">
        <f t="shared" si="490"/>
        <v>10.210000000000001</v>
      </c>
      <c r="BX184" s="70">
        <f t="shared" si="490"/>
        <v>0</v>
      </c>
      <c r="BY184" s="70">
        <f t="shared" si="490"/>
        <v>0</v>
      </c>
      <c r="BZ184" s="70">
        <f t="shared" si="490"/>
        <v>0</v>
      </c>
      <c r="CA184" s="70">
        <f t="shared" si="490"/>
        <v>1962.9</v>
      </c>
      <c r="CB184" s="70">
        <f t="shared" si="490"/>
        <v>104.25</v>
      </c>
      <c r="CC184" s="70">
        <f t="shared" si="490"/>
        <v>2159.19</v>
      </c>
      <c r="CD184" s="70">
        <f t="shared" si="490"/>
        <v>119.89</v>
      </c>
      <c r="CE184" s="70">
        <f t="shared" si="490"/>
        <v>180</v>
      </c>
      <c r="CF184" s="70">
        <f t="shared" si="490"/>
        <v>10</v>
      </c>
      <c r="CG184" s="70">
        <f t="shared" si="490"/>
        <v>490.73</v>
      </c>
      <c r="CH184" s="96">
        <f t="shared" si="490"/>
        <v>26.06</v>
      </c>
      <c r="CI184" s="70">
        <f t="shared" si="490"/>
        <v>0</v>
      </c>
      <c r="CJ184" s="70">
        <f t="shared" si="490"/>
        <v>0</v>
      </c>
      <c r="CK184" s="70">
        <f t="shared" si="490"/>
        <v>546.25</v>
      </c>
      <c r="CL184" s="70">
        <f t="shared" si="490"/>
        <v>5</v>
      </c>
      <c r="CM184" s="70">
        <f t="shared" si="490"/>
        <v>0</v>
      </c>
      <c r="CN184" s="70">
        <f t="shared" si="490"/>
        <v>0</v>
      </c>
      <c r="CO184" s="70">
        <f t="shared" si="490"/>
        <v>2125</v>
      </c>
      <c r="CP184" s="70">
        <f t="shared" ref="CP184:FB184" si="491">+CP181+CP182+CP183</f>
        <v>60</v>
      </c>
      <c r="CQ184" s="70">
        <f t="shared" si="491"/>
        <v>2185</v>
      </c>
      <c r="CR184" s="70">
        <f t="shared" si="491"/>
        <v>20</v>
      </c>
      <c r="CS184" s="70">
        <f t="shared" si="491"/>
        <v>2125</v>
      </c>
      <c r="CT184" s="70">
        <f t="shared" si="491"/>
        <v>20</v>
      </c>
      <c r="CU184" s="70">
        <f t="shared" si="491"/>
        <v>2250</v>
      </c>
      <c r="CV184" s="70">
        <f t="shared" si="491"/>
        <v>60</v>
      </c>
      <c r="CW184" s="70">
        <f t="shared" si="491"/>
        <v>562.5</v>
      </c>
      <c r="CX184" s="70">
        <f t="shared" si="491"/>
        <v>45</v>
      </c>
      <c r="CY184" s="70">
        <f t="shared" si="491"/>
        <v>0</v>
      </c>
      <c r="CZ184" s="70">
        <f t="shared" si="491"/>
        <v>0</v>
      </c>
      <c r="DA184" s="70">
        <f t="shared" si="491"/>
        <v>1288.75</v>
      </c>
      <c r="DB184" s="70">
        <f t="shared" si="491"/>
        <v>60</v>
      </c>
      <c r="DC184" s="70">
        <f t="shared" si="491"/>
        <v>1237.54</v>
      </c>
      <c r="DD184" s="70">
        <f t="shared" si="491"/>
        <v>4.1399999999999997</v>
      </c>
      <c r="DE184" s="70">
        <f t="shared" si="491"/>
        <v>51.209999999999923</v>
      </c>
      <c r="DF184" s="70">
        <f t="shared" si="491"/>
        <v>55.86</v>
      </c>
      <c r="DG184" s="70">
        <f t="shared" si="491"/>
        <v>556.25</v>
      </c>
      <c r="DH184" s="70">
        <f t="shared" si="491"/>
        <v>15</v>
      </c>
      <c r="DI184" s="70">
        <f t="shared" si="491"/>
        <v>505.04000000000008</v>
      </c>
      <c r="DJ184" s="70">
        <f t="shared" si="491"/>
        <v>0</v>
      </c>
      <c r="DK184" s="70">
        <f t="shared" si="491"/>
        <v>0</v>
      </c>
      <c r="DL184" s="70">
        <f t="shared" si="491"/>
        <v>0</v>
      </c>
      <c r="DM184" s="70">
        <f t="shared" si="491"/>
        <v>1793.79</v>
      </c>
      <c r="DN184" s="70">
        <f t="shared" si="491"/>
        <v>60</v>
      </c>
      <c r="DO184" s="70">
        <f t="shared" si="491"/>
        <v>1759.15</v>
      </c>
      <c r="DP184" s="70">
        <f t="shared" si="491"/>
        <v>54.25</v>
      </c>
      <c r="DQ184" s="70">
        <f t="shared" si="491"/>
        <v>34.64</v>
      </c>
      <c r="DR184" s="70">
        <f t="shared" si="491"/>
        <v>5.75</v>
      </c>
      <c r="DS184" s="70">
        <f t="shared" si="491"/>
        <v>175.91499999999999</v>
      </c>
      <c r="DT184" s="70">
        <f t="shared" si="491"/>
        <v>5.4249999999999998</v>
      </c>
      <c r="DU184" s="70">
        <f t="shared" si="491"/>
        <v>141.27499999999998</v>
      </c>
      <c r="DV184" s="70">
        <f t="shared" si="491"/>
        <v>-0.32500000000000018</v>
      </c>
      <c r="DW184" s="70">
        <f t="shared" si="491"/>
        <v>0</v>
      </c>
      <c r="DX184" s="70">
        <f t="shared" si="491"/>
        <v>0</v>
      </c>
      <c r="DY184" s="70">
        <f t="shared" si="491"/>
        <v>148.77000000000001</v>
      </c>
      <c r="DZ184" s="70">
        <f t="shared" si="491"/>
        <v>0</v>
      </c>
      <c r="EA184" s="70">
        <f t="shared" si="491"/>
        <v>62.13</v>
      </c>
      <c r="EB184" s="96">
        <f t="shared" si="491"/>
        <v>0</v>
      </c>
      <c r="EC184" s="70">
        <f t="shared" si="491"/>
        <v>2004.69</v>
      </c>
      <c r="ED184" s="70">
        <f t="shared" si="491"/>
        <v>60</v>
      </c>
      <c r="EE184" s="70">
        <f t="shared" si="491"/>
        <v>1909.23</v>
      </c>
      <c r="EF184" s="70">
        <f t="shared" si="491"/>
        <v>54.78</v>
      </c>
      <c r="EG184" s="70" t="e">
        <f t="shared" si="491"/>
        <v>#DIV/0!</v>
      </c>
      <c r="EH184" s="70" t="e">
        <f t="shared" si="491"/>
        <v>#DIV/0!</v>
      </c>
      <c r="EI184" s="70">
        <f t="shared" si="491"/>
        <v>95.46</v>
      </c>
      <c r="EJ184" s="70">
        <f t="shared" si="491"/>
        <v>5.22</v>
      </c>
      <c r="EK184" s="70">
        <f t="shared" si="491"/>
        <v>173.56</v>
      </c>
      <c r="EL184" s="70">
        <f t="shared" si="491"/>
        <v>4.9800000000000004</v>
      </c>
      <c r="EM184" s="70">
        <f t="shared" si="491"/>
        <v>78.099999999999994</v>
      </c>
      <c r="EN184" s="70">
        <f t="shared" si="491"/>
        <v>-0.23999999999999932</v>
      </c>
      <c r="EO184" s="70">
        <f t="shared" si="491"/>
        <v>0</v>
      </c>
      <c r="EP184" s="70">
        <f t="shared" si="491"/>
        <v>1.9</v>
      </c>
      <c r="EQ184" s="66">
        <f t="shared" si="491"/>
        <v>0</v>
      </c>
      <c r="ER184" s="46">
        <f t="shared" si="491"/>
        <v>0</v>
      </c>
      <c r="ES184" s="46">
        <f t="shared" si="491"/>
        <v>0</v>
      </c>
      <c r="ET184" s="46">
        <f t="shared" si="491"/>
        <v>0</v>
      </c>
      <c r="EU184" s="5">
        <f t="shared" si="442"/>
        <v>220.30999999999995</v>
      </c>
      <c r="EV184" s="5">
        <f t="shared" si="442"/>
        <v>-1.9</v>
      </c>
      <c r="EW184" s="46">
        <f t="shared" si="491"/>
        <v>2225</v>
      </c>
      <c r="EX184" s="46">
        <f t="shared" si="491"/>
        <v>60</v>
      </c>
      <c r="EY184" s="46">
        <f t="shared" si="491"/>
        <v>2450</v>
      </c>
      <c r="EZ184" s="46">
        <f t="shared" si="491"/>
        <v>75</v>
      </c>
      <c r="FA184" s="46">
        <f t="shared" si="491"/>
        <v>0</v>
      </c>
      <c r="FB184" s="46">
        <f t="shared" si="491"/>
        <v>0</v>
      </c>
    </row>
    <row r="185" spans="1:160" ht="37.5" x14ac:dyDescent="0.25">
      <c r="A185" s="68"/>
      <c r="B185" s="68"/>
      <c r="C185" s="91"/>
      <c r="D185" s="67" t="s">
        <v>406</v>
      </c>
      <c r="E185" s="69" t="s">
        <v>407</v>
      </c>
      <c r="F185" s="40">
        <v>41835.589999999997</v>
      </c>
      <c r="G185" s="40">
        <v>29190.81</v>
      </c>
      <c r="H185" s="40">
        <v>41642.94</v>
      </c>
      <c r="I185" s="40">
        <v>29221.510000000002</v>
      </c>
      <c r="J185" s="41">
        <f t="shared" ref="J185:AA185" si="492">+J184+J180+J179+J176+J175+J174+J170+J169+J168+J165+J164+J160+J161+J157+J156+J146+J142+J139+J136</f>
        <v>44384.95</v>
      </c>
      <c r="K185" s="41">
        <f t="shared" si="492"/>
        <v>1020</v>
      </c>
      <c r="L185" s="41">
        <f t="shared" si="492"/>
        <v>1</v>
      </c>
      <c r="M185" s="41">
        <f t="shared" si="492"/>
        <v>45405.95</v>
      </c>
      <c r="N185" s="41">
        <f t="shared" si="492"/>
        <v>1585</v>
      </c>
      <c r="O185" s="41">
        <f t="shared" si="492"/>
        <v>50</v>
      </c>
      <c r="P185" s="41">
        <f t="shared" si="492"/>
        <v>0</v>
      </c>
      <c r="Q185" s="41">
        <f t="shared" si="492"/>
        <v>1635</v>
      </c>
      <c r="R185" s="41">
        <f t="shared" si="492"/>
        <v>47040.95</v>
      </c>
      <c r="S185" s="41">
        <f t="shared" si="492"/>
        <v>34307</v>
      </c>
      <c r="T185" s="41">
        <f t="shared" si="492"/>
        <v>0</v>
      </c>
      <c r="U185" s="41">
        <f t="shared" si="492"/>
        <v>0</v>
      </c>
      <c r="V185" s="41">
        <f t="shared" si="492"/>
        <v>44070.75</v>
      </c>
      <c r="W185" s="41">
        <f t="shared" si="492"/>
        <v>30177.040000000001</v>
      </c>
      <c r="X185" s="41">
        <f t="shared" si="492"/>
        <v>2970.2000000000003</v>
      </c>
      <c r="Y185" s="41">
        <f t="shared" si="492"/>
        <v>4129.96</v>
      </c>
      <c r="Z185" s="41">
        <f t="shared" si="492"/>
        <v>41992.08</v>
      </c>
      <c r="AA185" s="41">
        <f t="shared" si="492"/>
        <v>1533.3899999999999</v>
      </c>
      <c r="AB185" s="40">
        <f t="shared" si="360"/>
        <v>43525.47</v>
      </c>
      <c r="AC185" s="43">
        <f t="shared" si="361"/>
        <v>0</v>
      </c>
      <c r="AD185" s="40">
        <f t="shared" ref="AD185:CO185" si="493">+AD184+AD180+AD179+AD176+AD175+AD174+AD170+AD169+AD168+AD165+AD164+AD160+AD161+AD157+AD156+AD146+AD142+AD139+AD136</f>
        <v>43525.47</v>
      </c>
      <c r="AE185" s="40">
        <f t="shared" si="493"/>
        <v>29584.620000000003</v>
      </c>
      <c r="AF185" s="40">
        <f t="shared" si="493"/>
        <v>30951.790000000008</v>
      </c>
      <c r="AG185" s="40">
        <f t="shared" si="493"/>
        <v>10882</v>
      </c>
      <c r="AH185" s="40">
        <f t="shared" si="493"/>
        <v>7407</v>
      </c>
      <c r="AI185" s="40">
        <f t="shared" si="493"/>
        <v>3628</v>
      </c>
      <c r="AJ185" s="40">
        <f t="shared" si="493"/>
        <v>2456</v>
      </c>
      <c r="AK185" s="40">
        <f t="shared" si="493"/>
        <v>36</v>
      </c>
      <c r="AL185" s="40">
        <f t="shared" si="493"/>
        <v>92.82</v>
      </c>
      <c r="AM185" s="40">
        <f t="shared" si="493"/>
        <v>10952.300000000001</v>
      </c>
      <c r="AN185" s="40">
        <f t="shared" si="493"/>
        <v>7204.3499999999995</v>
      </c>
      <c r="AO185" s="40">
        <f t="shared" si="493"/>
        <v>0</v>
      </c>
      <c r="AP185" s="40">
        <f t="shared" si="493"/>
        <v>0</v>
      </c>
      <c r="AQ185" s="40">
        <f t="shared" si="493"/>
        <v>21870.3</v>
      </c>
      <c r="AR185" s="40">
        <f t="shared" si="493"/>
        <v>14704.169999999998</v>
      </c>
      <c r="AS185" s="40">
        <f t="shared" si="493"/>
        <v>225</v>
      </c>
      <c r="AT185" s="40">
        <f t="shared" si="493"/>
        <v>10</v>
      </c>
      <c r="AU185" s="40">
        <f t="shared" si="493"/>
        <v>10801.85</v>
      </c>
      <c r="AV185" s="40">
        <f t="shared" si="493"/>
        <v>7316.9400000000005</v>
      </c>
      <c r="AW185" s="40">
        <f t="shared" si="493"/>
        <v>310.13</v>
      </c>
      <c r="AX185" s="40">
        <f t="shared" si="493"/>
        <v>1184.95</v>
      </c>
      <c r="AY185" s="40">
        <f t="shared" si="493"/>
        <v>36835.279999999999</v>
      </c>
      <c r="AZ185" s="40">
        <f t="shared" si="493"/>
        <v>25672.059999999998</v>
      </c>
      <c r="BA185" s="40">
        <f t="shared" si="493"/>
        <v>62507.340000000004</v>
      </c>
      <c r="BB185" s="40">
        <f t="shared" si="493"/>
        <v>34995.170000000006</v>
      </c>
      <c r="BC185" s="40">
        <f t="shared" si="493"/>
        <v>24587.549999999996</v>
      </c>
      <c r="BD185" s="40">
        <f t="shared" si="493"/>
        <v>1840.1099999999992</v>
      </c>
      <c r="BE185" s="40">
        <f t="shared" si="493"/>
        <v>1084.5100000000004</v>
      </c>
      <c r="BF185" s="40">
        <f t="shared" si="493"/>
        <v>6999.01</v>
      </c>
      <c r="BG185" s="40">
        <f t="shared" si="493"/>
        <v>4917.5200000000013</v>
      </c>
      <c r="BH185" s="40">
        <f t="shared" si="493"/>
        <v>2534.3200000000002</v>
      </c>
      <c r="BI185" s="40">
        <f t="shared" si="493"/>
        <v>1954.44</v>
      </c>
      <c r="BJ185" s="40">
        <f t="shared" si="493"/>
        <v>92.12</v>
      </c>
      <c r="BK185" s="40">
        <f t="shared" si="493"/>
        <v>242</v>
      </c>
      <c r="BL185" s="40">
        <f t="shared" si="493"/>
        <v>39461.719999999994</v>
      </c>
      <c r="BM185" s="40">
        <f t="shared" si="493"/>
        <v>27868.5</v>
      </c>
      <c r="BN185" s="40">
        <f t="shared" si="493"/>
        <v>67330.22</v>
      </c>
      <c r="BO185" s="40">
        <f t="shared" si="493"/>
        <v>38630.129999999997</v>
      </c>
      <c r="BP185" s="102">
        <f t="shared" si="493"/>
        <v>27131.629999999997</v>
      </c>
      <c r="BQ185" s="40">
        <f t="shared" si="493"/>
        <v>831.59000000000128</v>
      </c>
      <c r="BR185" s="40">
        <f t="shared" si="493"/>
        <v>736.86999999999989</v>
      </c>
      <c r="BS185" s="40">
        <f t="shared" si="493"/>
        <v>3511.82</v>
      </c>
      <c r="BT185" s="40">
        <f t="shared" si="493"/>
        <v>2466.4999999999995</v>
      </c>
      <c r="BU185" s="40">
        <f t="shared" si="493"/>
        <v>2853.42</v>
      </c>
      <c r="BV185" s="40">
        <f t="shared" si="493"/>
        <v>2021.09</v>
      </c>
      <c r="BW185" s="40">
        <f t="shared" si="493"/>
        <v>798.32999999999993</v>
      </c>
      <c r="BX185" s="40">
        <f t="shared" si="493"/>
        <v>759.5</v>
      </c>
      <c r="BY185" s="40">
        <f t="shared" si="493"/>
        <v>89.3</v>
      </c>
      <c r="BZ185" s="40">
        <f t="shared" si="493"/>
        <v>0</v>
      </c>
      <c r="CA185" s="40">
        <f t="shared" si="493"/>
        <v>43113.469999999994</v>
      </c>
      <c r="CB185" s="40">
        <f t="shared" si="493"/>
        <v>30559.790000000005</v>
      </c>
      <c r="CC185" s="40">
        <f t="shared" si="493"/>
        <v>47424.840000000004</v>
      </c>
      <c r="CD185" s="40">
        <f t="shared" si="493"/>
        <v>35143.75</v>
      </c>
      <c r="CE185" s="40">
        <f t="shared" si="493"/>
        <v>4174</v>
      </c>
      <c r="CF185" s="40">
        <f t="shared" si="493"/>
        <v>3718</v>
      </c>
      <c r="CG185" s="40">
        <f t="shared" si="493"/>
        <v>10778.41</v>
      </c>
      <c r="CH185" s="102">
        <f t="shared" si="493"/>
        <v>7639.97</v>
      </c>
      <c r="CI185" s="40">
        <f t="shared" si="493"/>
        <v>0</v>
      </c>
      <c r="CJ185" s="40">
        <f t="shared" si="493"/>
        <v>0</v>
      </c>
      <c r="CK185" s="40">
        <f t="shared" si="493"/>
        <v>11652.220000000001</v>
      </c>
      <c r="CL185" s="40">
        <f t="shared" si="493"/>
        <v>8062.29</v>
      </c>
      <c r="CM185" s="40">
        <f t="shared" si="493"/>
        <v>400</v>
      </c>
      <c r="CN185" s="40">
        <f t="shared" si="493"/>
        <v>371</v>
      </c>
      <c r="CO185" s="40">
        <f t="shared" si="493"/>
        <v>47359.340000000004</v>
      </c>
      <c r="CP185" s="40">
        <f t="shared" ref="CP185:FB185" si="494">+CP184+CP180+CP179+CP176+CP175+CP174+CP170+CP169+CP168+CP165+CP164+CP160+CP161+CP157+CP156+CP146+CP142+CP139+CP136</f>
        <v>32585.940000000002</v>
      </c>
      <c r="CQ185" s="40">
        <f t="shared" si="494"/>
        <v>46608.880000000005</v>
      </c>
      <c r="CR185" s="40">
        <f t="shared" si="494"/>
        <v>32249.16</v>
      </c>
      <c r="CS185" s="40">
        <f t="shared" si="494"/>
        <v>45257.880000000005</v>
      </c>
      <c r="CT185" s="40">
        <f t="shared" si="494"/>
        <v>30908.81</v>
      </c>
      <c r="CU185" s="40">
        <f t="shared" si="494"/>
        <v>45636.4</v>
      </c>
      <c r="CV185" s="40">
        <f t="shared" si="494"/>
        <v>31954.07</v>
      </c>
      <c r="CW185" s="40">
        <f t="shared" si="494"/>
        <v>11407.11</v>
      </c>
      <c r="CX185" s="40">
        <f t="shared" si="494"/>
        <v>8011.5</v>
      </c>
      <c r="CY185" s="40">
        <f t="shared" si="494"/>
        <v>72</v>
      </c>
      <c r="CZ185" s="40">
        <f t="shared" si="494"/>
        <v>335.11</v>
      </c>
      <c r="DA185" s="40">
        <f t="shared" si="494"/>
        <v>27705.33</v>
      </c>
      <c r="DB185" s="40">
        <f t="shared" si="494"/>
        <v>20497.899999999998</v>
      </c>
      <c r="DC185" s="40">
        <f t="shared" si="494"/>
        <v>25886.340000000004</v>
      </c>
      <c r="DD185" s="40">
        <f t="shared" si="494"/>
        <v>20108.16</v>
      </c>
      <c r="DE185" s="40">
        <f t="shared" si="494"/>
        <v>1818.9899999999984</v>
      </c>
      <c r="DF185" s="40">
        <f t="shared" si="494"/>
        <v>389.7400000000008</v>
      </c>
      <c r="DG185" s="40">
        <f t="shared" si="494"/>
        <v>11381.61</v>
      </c>
      <c r="DH185" s="40">
        <f t="shared" si="494"/>
        <v>7851.59</v>
      </c>
      <c r="DI185" s="40">
        <f t="shared" si="494"/>
        <v>9687.010000000002</v>
      </c>
      <c r="DJ185" s="40">
        <f t="shared" si="494"/>
        <v>7482.0299999999988</v>
      </c>
      <c r="DK185" s="40">
        <f t="shared" si="494"/>
        <v>696</v>
      </c>
      <c r="DL185" s="40">
        <f t="shared" si="494"/>
        <v>1380.7</v>
      </c>
      <c r="DM185" s="40">
        <f t="shared" si="494"/>
        <v>38088.339999999989</v>
      </c>
      <c r="DN185" s="70">
        <f t="shared" si="494"/>
        <v>29360.629999999997</v>
      </c>
      <c r="DO185" s="70">
        <f t="shared" si="494"/>
        <v>37441.130000000005</v>
      </c>
      <c r="DP185" s="70">
        <f t="shared" si="494"/>
        <v>28366.929999999997</v>
      </c>
      <c r="DQ185" s="70">
        <f t="shared" si="494"/>
        <v>647.21</v>
      </c>
      <c r="DR185" s="70">
        <f t="shared" si="494"/>
        <v>993.70000000000016</v>
      </c>
      <c r="DS185" s="70">
        <f t="shared" si="494"/>
        <v>3744.1129999999998</v>
      </c>
      <c r="DT185" s="70">
        <f t="shared" si="494"/>
        <v>2836.6929999999998</v>
      </c>
      <c r="DU185" s="70">
        <f t="shared" si="494"/>
        <v>3096.9030000000002</v>
      </c>
      <c r="DV185" s="70">
        <f t="shared" si="494"/>
        <v>1842.9929999999997</v>
      </c>
      <c r="DW185" s="70">
        <f t="shared" si="494"/>
        <v>71</v>
      </c>
      <c r="DX185" s="70">
        <f t="shared" si="494"/>
        <v>657.44</v>
      </c>
      <c r="DY185" s="70">
        <f t="shared" si="494"/>
        <v>3303.91</v>
      </c>
      <c r="DZ185" s="70">
        <f t="shared" si="494"/>
        <v>2779.54</v>
      </c>
      <c r="EA185" s="70">
        <f t="shared" si="494"/>
        <v>105.78</v>
      </c>
      <c r="EB185" s="96">
        <f t="shared" si="494"/>
        <v>118.09</v>
      </c>
      <c r="EC185" s="70">
        <f t="shared" si="494"/>
        <v>41498.03</v>
      </c>
      <c r="ED185" s="70">
        <f t="shared" si="494"/>
        <v>32258.260000000002</v>
      </c>
      <c r="EE185" s="70">
        <f t="shared" si="494"/>
        <v>41110.030000000006</v>
      </c>
      <c r="EF185" s="70">
        <f t="shared" si="494"/>
        <v>31333.98</v>
      </c>
      <c r="EG185" s="70" t="e">
        <f t="shared" si="494"/>
        <v>#DIV/0!</v>
      </c>
      <c r="EH185" s="70" t="e">
        <f t="shared" si="494"/>
        <v>#DIV/0!</v>
      </c>
      <c r="EI185" s="70">
        <f t="shared" si="494"/>
        <v>388</v>
      </c>
      <c r="EJ185" s="70">
        <f t="shared" si="494"/>
        <v>924.28</v>
      </c>
      <c r="EK185" s="70">
        <f t="shared" si="494"/>
        <v>3737.2799999999997</v>
      </c>
      <c r="EL185" s="70">
        <f t="shared" si="494"/>
        <v>2848.5299999999997</v>
      </c>
      <c r="EM185" s="70">
        <f t="shared" si="494"/>
        <v>3349.2799999999997</v>
      </c>
      <c r="EN185" s="70">
        <f t="shared" si="494"/>
        <v>1924.2500000000002</v>
      </c>
      <c r="EO185" s="70">
        <f t="shared" si="494"/>
        <v>3477.9300000000003</v>
      </c>
      <c r="EP185" s="70">
        <f t="shared" si="494"/>
        <v>2650.51</v>
      </c>
      <c r="EQ185" s="79">
        <f t="shared" si="494"/>
        <v>0</v>
      </c>
      <c r="ER185" s="62">
        <f t="shared" si="494"/>
        <v>0</v>
      </c>
      <c r="ES185" s="62">
        <f t="shared" si="494"/>
        <v>262.88999999999993</v>
      </c>
      <c r="ET185" s="62">
        <f t="shared" si="494"/>
        <v>124.5</v>
      </c>
      <c r="EU185" s="5">
        <f t="shared" si="442"/>
        <v>1957.760000000002</v>
      </c>
      <c r="EV185" s="5">
        <f t="shared" si="442"/>
        <v>1160.9399999999969</v>
      </c>
      <c r="EW185" s="64">
        <f t="shared" si="494"/>
        <v>46933.72</v>
      </c>
      <c r="EX185" s="64">
        <f t="shared" si="494"/>
        <v>36069.71</v>
      </c>
      <c r="EY185" s="64">
        <f t="shared" si="494"/>
        <v>49837.17</v>
      </c>
      <c r="EZ185" s="64">
        <f t="shared" si="494"/>
        <v>38036</v>
      </c>
      <c r="FA185" s="64">
        <f t="shared" si="494"/>
        <v>0</v>
      </c>
      <c r="FB185" s="64">
        <f t="shared" si="494"/>
        <v>0</v>
      </c>
    </row>
    <row r="186" spans="1:160" ht="18.75" x14ac:dyDescent="0.25">
      <c r="A186" s="68">
        <v>1</v>
      </c>
      <c r="B186" s="68"/>
      <c r="C186" s="91" t="s">
        <v>183</v>
      </c>
      <c r="D186" s="67" t="s">
        <v>408</v>
      </c>
      <c r="E186" s="69"/>
      <c r="F186" s="40">
        <v>4738.8599999999997</v>
      </c>
      <c r="G186" s="40">
        <v>5493.23</v>
      </c>
      <c r="H186" s="40">
        <v>4738.8599999999997</v>
      </c>
      <c r="I186" s="70">
        <v>5563.23</v>
      </c>
      <c r="J186" s="71">
        <v>5600</v>
      </c>
      <c r="K186" s="41">
        <v>3</v>
      </c>
      <c r="L186" s="41"/>
      <c r="M186" s="41">
        <f t="shared" ref="M186" si="495">J186+K186+L186</f>
        <v>5603</v>
      </c>
      <c r="N186" s="41">
        <v>0</v>
      </c>
      <c r="O186" s="41">
        <v>0</v>
      </c>
      <c r="P186" s="41">
        <v>0</v>
      </c>
      <c r="Q186" s="41">
        <f t="shared" ref="Q186" si="496">N186+O186+P186</f>
        <v>0</v>
      </c>
      <c r="R186" s="41">
        <f t="shared" ref="R186" si="497">+Q186+M186</f>
        <v>5603</v>
      </c>
      <c r="S186" s="41">
        <v>6100</v>
      </c>
      <c r="T186" s="92"/>
      <c r="U186" s="92"/>
      <c r="V186" s="70">
        <f t="shared" ref="V186" si="498">ROUND(H186*1.0583,2)</f>
        <v>5015.1400000000003</v>
      </c>
      <c r="W186" s="40">
        <f t="shared" ref="W186" si="499">ROUND(I186*1.0327,2)</f>
        <v>5745.15</v>
      </c>
      <c r="X186" s="43">
        <f t="shared" si="352"/>
        <v>587.85999999999967</v>
      </c>
      <c r="Y186" s="43">
        <f t="shared" si="352"/>
        <v>354.85000000000036</v>
      </c>
      <c r="Z186" s="43">
        <v>5015.1400000000003</v>
      </c>
      <c r="AA186" s="43"/>
      <c r="AB186" s="43">
        <f t="shared" si="360"/>
        <v>5015.1400000000003</v>
      </c>
      <c r="AC186" s="43">
        <f t="shared" si="361"/>
        <v>0</v>
      </c>
      <c r="AD186" s="43">
        <f t="shared" ref="AD186" si="500">IF(X186&gt;0,V186,R186)</f>
        <v>5015.1400000000003</v>
      </c>
      <c r="AE186" s="43">
        <f>IF(Y186&gt;0,W186,S186)+358.93</f>
        <v>6104.08</v>
      </c>
      <c r="AF186" s="43">
        <f t="shared" si="373"/>
        <v>5503.42</v>
      </c>
      <c r="AG186" s="43">
        <f t="shared" si="353"/>
        <v>1254</v>
      </c>
      <c r="AH186" s="43">
        <v>1436</v>
      </c>
      <c r="AI186" s="93">
        <f t="shared" si="354"/>
        <v>418</v>
      </c>
      <c r="AJ186" s="43">
        <v>479</v>
      </c>
      <c r="AK186" s="43"/>
      <c r="AL186" s="43">
        <v>358.93</v>
      </c>
      <c r="AM186" s="43">
        <f t="shared" si="374"/>
        <v>1253.79</v>
      </c>
      <c r="AN186" s="43">
        <f>1436</f>
        <v>1436</v>
      </c>
      <c r="AO186" s="43"/>
      <c r="AP186" s="43"/>
      <c r="AQ186" s="43">
        <f t="shared" si="355"/>
        <v>2507.79</v>
      </c>
      <c r="AR186" s="43">
        <f t="shared" si="355"/>
        <v>3230.9300000000003</v>
      </c>
      <c r="AS186" s="43"/>
      <c r="AT186" s="43">
        <v>82</v>
      </c>
      <c r="AU186" s="43">
        <f t="shared" si="424"/>
        <v>1253.79</v>
      </c>
      <c r="AV186" s="43">
        <f>ROUND(AE186*25%,2)+160.25</f>
        <v>1686.27</v>
      </c>
      <c r="AW186" s="43"/>
      <c r="AX186" s="43"/>
      <c r="AY186" s="43">
        <f t="shared" si="349"/>
        <v>4179.58</v>
      </c>
      <c r="AZ186" s="43">
        <f t="shared" si="349"/>
        <v>5478.2000000000007</v>
      </c>
      <c r="BA186" s="43">
        <f t="shared" si="356"/>
        <v>9657.7800000000007</v>
      </c>
      <c r="BB186" s="60">
        <v>3989.31</v>
      </c>
      <c r="BC186" s="60">
        <v>5507.84</v>
      </c>
      <c r="BD186" s="60">
        <f t="shared" si="350"/>
        <v>190.26999999999998</v>
      </c>
      <c r="BE186" s="60">
        <f t="shared" si="350"/>
        <v>-29.639999999999418</v>
      </c>
      <c r="BF186" s="60">
        <f t="shared" si="351"/>
        <v>797.86</v>
      </c>
      <c r="BG186" s="60">
        <f t="shared" si="351"/>
        <v>1101.57</v>
      </c>
      <c r="BH186" s="43">
        <v>303.8</v>
      </c>
      <c r="BI186" s="43">
        <v>500</v>
      </c>
      <c r="BJ186" s="43"/>
      <c r="BK186" s="43">
        <v>172.37</v>
      </c>
      <c r="BL186" s="43">
        <f t="shared" si="358"/>
        <v>4483.38</v>
      </c>
      <c r="BM186" s="43">
        <f t="shared" si="358"/>
        <v>6150.5700000000006</v>
      </c>
      <c r="BN186" s="43">
        <f t="shared" si="376"/>
        <v>10633.95</v>
      </c>
      <c r="BO186" s="43">
        <v>4410.9399999999996</v>
      </c>
      <c r="BP186" s="93">
        <f>6138.57+24</f>
        <v>6162.57</v>
      </c>
      <c r="BQ186" s="43">
        <f t="shared" si="377"/>
        <v>72.440000000000509</v>
      </c>
      <c r="BR186" s="43">
        <f t="shared" si="377"/>
        <v>-11.999999999999091</v>
      </c>
      <c r="BS186" s="43">
        <f t="shared" si="378"/>
        <v>400.99</v>
      </c>
      <c r="BT186" s="43">
        <f t="shared" si="378"/>
        <v>560.23</v>
      </c>
      <c r="BU186" s="43">
        <v>500</v>
      </c>
      <c r="BV186" s="43">
        <v>586</v>
      </c>
      <c r="BW186" s="43">
        <v>55.32</v>
      </c>
      <c r="BX186" s="43">
        <f>28.37+35.87</f>
        <v>64.239999999999995</v>
      </c>
      <c r="BY186" s="43"/>
      <c r="BZ186" s="43"/>
      <c r="CA186" s="43">
        <f>5038.7+15.9</f>
        <v>5054.5999999999995</v>
      </c>
      <c r="CB186" s="43">
        <v>6800.81</v>
      </c>
      <c r="CC186" s="92">
        <v>5542.57</v>
      </c>
      <c r="CD186" s="92">
        <v>7820.93</v>
      </c>
      <c r="CE186" s="92">
        <v>462</v>
      </c>
      <c r="CF186" s="92">
        <v>652</v>
      </c>
      <c r="CG186" s="92">
        <f t="shared" si="379"/>
        <v>1263.6500000000001</v>
      </c>
      <c r="CH186" s="92">
        <f t="shared" si="379"/>
        <v>1700.2</v>
      </c>
      <c r="CI186" s="43"/>
      <c r="CJ186" s="43"/>
      <c r="CK186" s="43">
        <v>1300</v>
      </c>
      <c r="CL186" s="72">
        <f>1700-200</f>
        <v>1500</v>
      </c>
      <c r="CM186" s="72"/>
      <c r="CN186" s="72"/>
      <c r="CO186" s="43">
        <v>5200</v>
      </c>
      <c r="CP186" s="43">
        <v>7000</v>
      </c>
      <c r="CQ186" s="43">
        <f t="shared" si="380"/>
        <v>5200</v>
      </c>
      <c r="CR186" s="43">
        <f t="shared" si="380"/>
        <v>6000</v>
      </c>
      <c r="CS186" s="43">
        <f t="shared" si="381"/>
        <v>5200</v>
      </c>
      <c r="CT186" s="43">
        <f>IF(CP186&lt;CR186,CP186,CR186)</f>
        <v>6000</v>
      </c>
      <c r="CU186" s="43">
        <f t="shared" ref="CU186" si="501">IF(CQ186&lt;CS186,CQ186,CS186)</f>
        <v>5200</v>
      </c>
      <c r="CV186" s="43">
        <f>IF(CR186&lt;CT186,CR186,CT186)+1400</f>
        <v>7400</v>
      </c>
      <c r="CW186" s="43">
        <f t="shared" si="382"/>
        <v>1300</v>
      </c>
      <c r="CX186" s="43">
        <v>19.07</v>
      </c>
      <c r="CY186" s="43"/>
      <c r="CZ186" s="43">
        <v>1887.93</v>
      </c>
      <c r="DA186" s="43">
        <f t="shared" si="383"/>
        <v>3062</v>
      </c>
      <c r="DB186" s="43">
        <f t="shared" si="383"/>
        <v>4059</v>
      </c>
      <c r="DC186" s="43">
        <v>2840.98</v>
      </c>
      <c r="DD186" s="43">
        <v>3952.69</v>
      </c>
      <c r="DE186" s="43">
        <f t="shared" si="384"/>
        <v>221.01999999999998</v>
      </c>
      <c r="DF186" s="43">
        <f t="shared" si="384"/>
        <v>106.30999999999995</v>
      </c>
      <c r="DG186" s="43">
        <f>ROUND(0.25*(MIN(CU186,EW186)),2)</f>
        <v>1300</v>
      </c>
      <c r="DH186" s="43">
        <f>ROUND(0.25*(MIN(CV186,EX186)),2)</f>
        <v>1850</v>
      </c>
      <c r="DI186" s="43">
        <f>+DG186-DE186</f>
        <v>1078.98</v>
      </c>
      <c r="DJ186" s="43">
        <f>+DH186-DF186</f>
        <v>1743.69</v>
      </c>
      <c r="DK186" s="43">
        <v>65</v>
      </c>
      <c r="DL186" s="43">
        <v>100</v>
      </c>
      <c r="DM186" s="43">
        <f t="shared" si="385"/>
        <v>4205.9799999999996</v>
      </c>
      <c r="DN186" s="43">
        <f t="shared" si="385"/>
        <v>5902.6900000000005</v>
      </c>
      <c r="DO186" s="94">
        <v>4102.5200000000004</v>
      </c>
      <c r="DP186" s="95">
        <v>5856.01</v>
      </c>
      <c r="DQ186" s="60">
        <f t="shared" si="386"/>
        <v>103.46</v>
      </c>
      <c r="DR186" s="60">
        <f t="shared" si="386"/>
        <v>46.68</v>
      </c>
      <c r="DS186" s="60">
        <f t="shared" si="387"/>
        <v>410.25200000000007</v>
      </c>
      <c r="DT186" s="60">
        <f t="shared" si="387"/>
        <v>585.601</v>
      </c>
      <c r="DU186" s="60">
        <f t="shared" si="388"/>
        <v>306.79200000000009</v>
      </c>
      <c r="DV186" s="60">
        <f t="shared" si="388"/>
        <v>538.92100000000005</v>
      </c>
      <c r="DW186" s="60">
        <v>50</v>
      </c>
      <c r="DX186" s="60">
        <v>50</v>
      </c>
      <c r="DY186" s="60">
        <v>450</v>
      </c>
      <c r="DZ186" s="60">
        <v>600</v>
      </c>
      <c r="EA186" s="60"/>
      <c r="EB186" s="60"/>
      <c r="EC186" s="43">
        <f t="shared" si="390"/>
        <v>4655.9799999999996</v>
      </c>
      <c r="ED186" s="43">
        <f t="shared" si="390"/>
        <v>6502.6900000000005</v>
      </c>
      <c r="EE186" s="43">
        <v>4573.32</v>
      </c>
      <c r="EF186" s="43">
        <v>6479.05</v>
      </c>
      <c r="EG186" s="43">
        <f t="shared" si="423"/>
        <v>98.22</v>
      </c>
      <c r="EH186" s="43">
        <f t="shared" si="423"/>
        <v>99.64</v>
      </c>
      <c r="EI186" s="43">
        <f t="shared" si="391"/>
        <v>82.66</v>
      </c>
      <c r="EJ186" s="43">
        <f t="shared" si="391"/>
        <v>23.64</v>
      </c>
      <c r="EK186" s="43">
        <f t="shared" si="392"/>
        <v>415.76</v>
      </c>
      <c r="EL186" s="43">
        <f t="shared" si="392"/>
        <v>589</v>
      </c>
      <c r="EM186" s="43">
        <f t="shared" si="393"/>
        <v>333.1</v>
      </c>
      <c r="EN186" s="43">
        <f t="shared" si="393"/>
        <v>565.36</v>
      </c>
      <c r="EO186" s="43">
        <v>400</v>
      </c>
      <c r="EP186" s="43">
        <v>650</v>
      </c>
      <c r="EQ186" s="5"/>
      <c r="ER186" s="5"/>
      <c r="ES186" s="5"/>
      <c r="ET186" s="5"/>
      <c r="EU186" s="5">
        <f t="shared" si="442"/>
        <v>144.02000000000044</v>
      </c>
      <c r="EV186" s="5">
        <f t="shared" si="442"/>
        <v>247.30999999999949</v>
      </c>
      <c r="EW186" s="5">
        <v>5200</v>
      </c>
      <c r="EX186" s="5">
        <v>7400</v>
      </c>
      <c r="EY186" s="5">
        <v>5500</v>
      </c>
      <c r="EZ186" s="5">
        <v>7600</v>
      </c>
    </row>
    <row r="187" spans="1:160" ht="18.75" x14ac:dyDescent="0.25">
      <c r="A187" s="68"/>
      <c r="B187" s="68"/>
      <c r="C187" s="91" t="s">
        <v>183</v>
      </c>
      <c r="D187" s="67" t="s">
        <v>408</v>
      </c>
      <c r="E187" s="69"/>
      <c r="F187" s="70">
        <v>4738.8599999999997</v>
      </c>
      <c r="G187" s="70">
        <v>5493.23</v>
      </c>
      <c r="H187" s="70">
        <v>4738.8599999999997</v>
      </c>
      <c r="I187" s="70">
        <v>5563.23</v>
      </c>
      <c r="J187" s="71">
        <f t="shared" ref="J187:AA187" si="502">J186</f>
        <v>5600</v>
      </c>
      <c r="K187" s="71">
        <f t="shared" si="502"/>
        <v>3</v>
      </c>
      <c r="L187" s="71">
        <f t="shared" si="502"/>
        <v>0</v>
      </c>
      <c r="M187" s="71">
        <f t="shared" si="502"/>
        <v>5603</v>
      </c>
      <c r="N187" s="71">
        <f t="shared" si="502"/>
        <v>0</v>
      </c>
      <c r="O187" s="71">
        <f t="shared" si="502"/>
        <v>0</v>
      </c>
      <c r="P187" s="71">
        <f t="shared" si="502"/>
        <v>0</v>
      </c>
      <c r="Q187" s="71">
        <f t="shared" si="502"/>
        <v>0</v>
      </c>
      <c r="R187" s="71">
        <f t="shared" si="502"/>
        <v>5603</v>
      </c>
      <c r="S187" s="71">
        <f t="shared" si="502"/>
        <v>6100</v>
      </c>
      <c r="T187" s="71">
        <f t="shared" si="502"/>
        <v>0</v>
      </c>
      <c r="U187" s="71">
        <f t="shared" si="502"/>
        <v>0</v>
      </c>
      <c r="V187" s="71">
        <f t="shared" si="502"/>
        <v>5015.1400000000003</v>
      </c>
      <c r="W187" s="71">
        <f t="shared" si="502"/>
        <v>5745.15</v>
      </c>
      <c r="X187" s="71">
        <f t="shared" si="502"/>
        <v>587.85999999999967</v>
      </c>
      <c r="Y187" s="71">
        <f t="shared" si="502"/>
        <v>354.85000000000036</v>
      </c>
      <c r="Z187" s="71">
        <f t="shared" si="502"/>
        <v>5015.1400000000003</v>
      </c>
      <c r="AA187" s="71">
        <f t="shared" si="502"/>
        <v>0</v>
      </c>
      <c r="AB187" s="70">
        <f t="shared" si="360"/>
        <v>5015.1400000000003</v>
      </c>
      <c r="AC187" s="43">
        <f t="shared" si="361"/>
        <v>0</v>
      </c>
      <c r="AD187" s="70">
        <f t="shared" ref="AD187:CO187" si="503">AD186</f>
        <v>5015.1400000000003</v>
      </c>
      <c r="AE187" s="70">
        <f t="shared" si="503"/>
        <v>6104.08</v>
      </c>
      <c r="AF187" s="70">
        <f t="shared" si="503"/>
        <v>5503.42</v>
      </c>
      <c r="AG187" s="70">
        <f t="shared" si="503"/>
        <v>1254</v>
      </c>
      <c r="AH187" s="70">
        <f t="shared" si="503"/>
        <v>1436</v>
      </c>
      <c r="AI187" s="96">
        <f t="shared" si="503"/>
        <v>418</v>
      </c>
      <c r="AJ187" s="70">
        <f t="shared" si="503"/>
        <v>479</v>
      </c>
      <c r="AK187" s="70">
        <f t="shared" si="503"/>
        <v>0</v>
      </c>
      <c r="AL187" s="70">
        <f t="shared" si="503"/>
        <v>358.93</v>
      </c>
      <c r="AM187" s="70">
        <f t="shared" si="503"/>
        <v>1253.79</v>
      </c>
      <c r="AN187" s="70">
        <f t="shared" si="503"/>
        <v>1436</v>
      </c>
      <c r="AO187" s="70">
        <f t="shared" si="503"/>
        <v>0</v>
      </c>
      <c r="AP187" s="70">
        <f t="shared" si="503"/>
        <v>0</v>
      </c>
      <c r="AQ187" s="70">
        <f t="shared" si="503"/>
        <v>2507.79</v>
      </c>
      <c r="AR187" s="70">
        <f t="shared" si="503"/>
        <v>3230.9300000000003</v>
      </c>
      <c r="AS187" s="70">
        <f t="shared" si="503"/>
        <v>0</v>
      </c>
      <c r="AT187" s="70">
        <f t="shared" si="503"/>
        <v>82</v>
      </c>
      <c r="AU187" s="70">
        <f t="shared" si="503"/>
        <v>1253.79</v>
      </c>
      <c r="AV187" s="70">
        <f t="shared" si="503"/>
        <v>1686.27</v>
      </c>
      <c r="AW187" s="70">
        <f t="shared" si="503"/>
        <v>0</v>
      </c>
      <c r="AX187" s="70">
        <f t="shared" si="503"/>
        <v>0</v>
      </c>
      <c r="AY187" s="70">
        <f t="shared" si="503"/>
        <v>4179.58</v>
      </c>
      <c r="AZ187" s="70">
        <f t="shared" si="503"/>
        <v>5478.2000000000007</v>
      </c>
      <c r="BA187" s="70">
        <f t="shared" si="503"/>
        <v>9657.7800000000007</v>
      </c>
      <c r="BB187" s="70">
        <f t="shared" si="503"/>
        <v>3989.31</v>
      </c>
      <c r="BC187" s="70">
        <f t="shared" si="503"/>
        <v>5507.84</v>
      </c>
      <c r="BD187" s="70">
        <f t="shared" si="503"/>
        <v>190.26999999999998</v>
      </c>
      <c r="BE187" s="70">
        <f t="shared" si="503"/>
        <v>-29.639999999999418</v>
      </c>
      <c r="BF187" s="70">
        <f t="shared" si="503"/>
        <v>797.86</v>
      </c>
      <c r="BG187" s="96">
        <f t="shared" si="503"/>
        <v>1101.57</v>
      </c>
      <c r="BH187" s="96">
        <f t="shared" si="503"/>
        <v>303.8</v>
      </c>
      <c r="BI187" s="96">
        <f t="shared" si="503"/>
        <v>500</v>
      </c>
      <c r="BJ187" s="96">
        <f t="shared" si="503"/>
        <v>0</v>
      </c>
      <c r="BK187" s="96">
        <f t="shared" si="503"/>
        <v>172.37</v>
      </c>
      <c r="BL187" s="96">
        <f t="shared" si="503"/>
        <v>4483.38</v>
      </c>
      <c r="BM187" s="96">
        <f t="shared" si="503"/>
        <v>6150.5700000000006</v>
      </c>
      <c r="BN187" s="96">
        <f t="shared" si="503"/>
        <v>10633.95</v>
      </c>
      <c r="BO187" s="96">
        <f t="shared" si="503"/>
        <v>4410.9399999999996</v>
      </c>
      <c r="BP187" s="96">
        <f t="shared" si="503"/>
        <v>6162.57</v>
      </c>
      <c r="BQ187" s="70">
        <f t="shared" si="503"/>
        <v>72.440000000000509</v>
      </c>
      <c r="BR187" s="70">
        <f t="shared" si="503"/>
        <v>-11.999999999999091</v>
      </c>
      <c r="BS187" s="70">
        <f t="shared" si="503"/>
        <v>400.99</v>
      </c>
      <c r="BT187" s="70">
        <f t="shared" si="503"/>
        <v>560.23</v>
      </c>
      <c r="BU187" s="70">
        <f t="shared" si="503"/>
        <v>500</v>
      </c>
      <c r="BV187" s="70">
        <f t="shared" si="503"/>
        <v>586</v>
      </c>
      <c r="BW187" s="70">
        <f t="shared" si="503"/>
        <v>55.32</v>
      </c>
      <c r="BX187" s="70">
        <f t="shared" si="503"/>
        <v>64.239999999999995</v>
      </c>
      <c r="BY187" s="70">
        <f t="shared" si="503"/>
        <v>0</v>
      </c>
      <c r="BZ187" s="70">
        <f t="shared" si="503"/>
        <v>0</v>
      </c>
      <c r="CA187" s="70">
        <f t="shared" si="503"/>
        <v>5054.5999999999995</v>
      </c>
      <c r="CB187" s="70">
        <f t="shared" si="503"/>
        <v>6800.81</v>
      </c>
      <c r="CC187" s="70">
        <f t="shared" si="503"/>
        <v>5542.57</v>
      </c>
      <c r="CD187" s="70">
        <f t="shared" si="503"/>
        <v>7820.93</v>
      </c>
      <c r="CE187" s="70">
        <f t="shared" si="503"/>
        <v>462</v>
      </c>
      <c r="CF187" s="70">
        <f t="shared" si="503"/>
        <v>652</v>
      </c>
      <c r="CG187" s="70">
        <f t="shared" si="503"/>
        <v>1263.6500000000001</v>
      </c>
      <c r="CH187" s="96">
        <f t="shared" si="503"/>
        <v>1700.2</v>
      </c>
      <c r="CI187" s="70">
        <f t="shared" si="503"/>
        <v>0</v>
      </c>
      <c r="CJ187" s="70">
        <f t="shared" si="503"/>
        <v>0</v>
      </c>
      <c r="CK187" s="70">
        <f t="shared" si="503"/>
        <v>1300</v>
      </c>
      <c r="CL187" s="70">
        <f t="shared" si="503"/>
        <v>1500</v>
      </c>
      <c r="CM187" s="70">
        <f t="shared" si="503"/>
        <v>0</v>
      </c>
      <c r="CN187" s="70">
        <f t="shared" si="503"/>
        <v>0</v>
      </c>
      <c r="CO187" s="70">
        <f t="shared" si="503"/>
        <v>5200</v>
      </c>
      <c r="CP187" s="70">
        <f t="shared" ref="CP187:FA187" si="504">CP186</f>
        <v>7000</v>
      </c>
      <c r="CQ187" s="70">
        <f t="shared" si="504"/>
        <v>5200</v>
      </c>
      <c r="CR187" s="70">
        <f t="shared" si="504"/>
        <v>6000</v>
      </c>
      <c r="CS187" s="70">
        <f t="shared" si="504"/>
        <v>5200</v>
      </c>
      <c r="CT187" s="70">
        <f t="shared" si="504"/>
        <v>6000</v>
      </c>
      <c r="CU187" s="70">
        <f t="shared" si="504"/>
        <v>5200</v>
      </c>
      <c r="CV187" s="70">
        <f t="shared" si="504"/>
        <v>7400</v>
      </c>
      <c r="CW187" s="70">
        <f t="shared" si="504"/>
        <v>1300</v>
      </c>
      <c r="CX187" s="70">
        <f t="shared" si="504"/>
        <v>19.07</v>
      </c>
      <c r="CY187" s="70">
        <f t="shared" si="504"/>
        <v>0</v>
      </c>
      <c r="CZ187" s="70">
        <f t="shared" si="504"/>
        <v>1887.93</v>
      </c>
      <c r="DA187" s="70">
        <f t="shared" si="504"/>
        <v>3062</v>
      </c>
      <c r="DB187" s="70">
        <f t="shared" si="504"/>
        <v>4059</v>
      </c>
      <c r="DC187" s="70">
        <f t="shared" si="504"/>
        <v>2840.98</v>
      </c>
      <c r="DD187" s="70">
        <f t="shared" si="504"/>
        <v>3952.69</v>
      </c>
      <c r="DE187" s="70">
        <f t="shared" si="504"/>
        <v>221.01999999999998</v>
      </c>
      <c r="DF187" s="70">
        <f t="shared" si="504"/>
        <v>106.30999999999995</v>
      </c>
      <c r="DG187" s="70">
        <f t="shared" si="504"/>
        <v>1300</v>
      </c>
      <c r="DH187" s="70">
        <f t="shared" si="504"/>
        <v>1850</v>
      </c>
      <c r="DI187" s="70">
        <f t="shared" si="504"/>
        <v>1078.98</v>
      </c>
      <c r="DJ187" s="70">
        <f t="shared" si="504"/>
        <v>1743.69</v>
      </c>
      <c r="DK187" s="70">
        <f t="shared" si="504"/>
        <v>65</v>
      </c>
      <c r="DL187" s="70">
        <f t="shared" si="504"/>
        <v>100</v>
      </c>
      <c r="DM187" s="70">
        <f t="shared" si="504"/>
        <v>4205.9799999999996</v>
      </c>
      <c r="DN187" s="70">
        <f t="shared" si="504"/>
        <v>5902.6900000000005</v>
      </c>
      <c r="DO187" s="70">
        <f t="shared" si="504"/>
        <v>4102.5200000000004</v>
      </c>
      <c r="DP187" s="70">
        <f t="shared" si="504"/>
        <v>5856.01</v>
      </c>
      <c r="DQ187" s="70">
        <f t="shared" si="504"/>
        <v>103.46</v>
      </c>
      <c r="DR187" s="70">
        <f t="shared" si="504"/>
        <v>46.68</v>
      </c>
      <c r="DS187" s="70">
        <f t="shared" si="504"/>
        <v>410.25200000000007</v>
      </c>
      <c r="DT187" s="70">
        <f t="shared" si="504"/>
        <v>585.601</v>
      </c>
      <c r="DU187" s="70">
        <f t="shared" si="504"/>
        <v>306.79200000000009</v>
      </c>
      <c r="DV187" s="70">
        <f t="shared" si="504"/>
        <v>538.92100000000005</v>
      </c>
      <c r="DW187" s="70">
        <f t="shared" si="504"/>
        <v>50</v>
      </c>
      <c r="DX187" s="70">
        <f t="shared" si="504"/>
        <v>50</v>
      </c>
      <c r="DY187" s="70">
        <f t="shared" si="504"/>
        <v>450</v>
      </c>
      <c r="DZ187" s="70">
        <f t="shared" si="504"/>
        <v>600</v>
      </c>
      <c r="EA187" s="70">
        <f t="shared" si="504"/>
        <v>0</v>
      </c>
      <c r="EB187" s="96">
        <f t="shared" si="504"/>
        <v>0</v>
      </c>
      <c r="EC187" s="70">
        <f t="shared" si="504"/>
        <v>4655.9799999999996</v>
      </c>
      <c r="ED187" s="70">
        <f t="shared" si="504"/>
        <v>6502.6900000000005</v>
      </c>
      <c r="EE187" s="70">
        <f t="shared" si="504"/>
        <v>4573.32</v>
      </c>
      <c r="EF187" s="70">
        <f t="shared" si="504"/>
        <v>6479.05</v>
      </c>
      <c r="EG187" s="70">
        <f t="shared" si="504"/>
        <v>98.22</v>
      </c>
      <c r="EH187" s="70">
        <f t="shared" si="504"/>
        <v>99.64</v>
      </c>
      <c r="EI187" s="70">
        <f t="shared" si="504"/>
        <v>82.66</v>
      </c>
      <c r="EJ187" s="70">
        <f t="shared" si="504"/>
        <v>23.64</v>
      </c>
      <c r="EK187" s="70">
        <f t="shared" si="504"/>
        <v>415.76</v>
      </c>
      <c r="EL187" s="70">
        <f t="shared" si="504"/>
        <v>589</v>
      </c>
      <c r="EM187" s="70">
        <f t="shared" si="504"/>
        <v>333.1</v>
      </c>
      <c r="EN187" s="70">
        <f t="shared" si="504"/>
        <v>565.36</v>
      </c>
      <c r="EO187" s="70">
        <f t="shared" si="504"/>
        <v>400</v>
      </c>
      <c r="EP187" s="70">
        <f t="shared" si="504"/>
        <v>650</v>
      </c>
      <c r="EQ187" s="66">
        <f t="shared" si="504"/>
        <v>0</v>
      </c>
      <c r="ER187" s="46">
        <f t="shared" si="504"/>
        <v>0</v>
      </c>
      <c r="ES187" s="46">
        <f t="shared" si="504"/>
        <v>0</v>
      </c>
      <c r="ET187" s="46">
        <f t="shared" si="504"/>
        <v>0</v>
      </c>
      <c r="EU187" s="5">
        <f t="shared" si="442"/>
        <v>144.02000000000044</v>
      </c>
      <c r="EV187" s="5">
        <f t="shared" si="442"/>
        <v>247.30999999999949</v>
      </c>
      <c r="EW187" s="46">
        <f t="shared" si="504"/>
        <v>5200</v>
      </c>
      <c r="EX187" s="46">
        <f t="shared" si="504"/>
        <v>7400</v>
      </c>
      <c r="EY187" s="46">
        <f t="shared" si="504"/>
        <v>5500</v>
      </c>
      <c r="EZ187" s="46">
        <f t="shared" si="504"/>
        <v>7600</v>
      </c>
      <c r="FA187" s="46">
        <f t="shared" si="504"/>
        <v>0</v>
      </c>
      <c r="FB187" s="46">
        <f t="shared" ref="FB187:FD187" si="505">FB186</f>
        <v>0</v>
      </c>
      <c r="FC187" s="46">
        <f t="shared" si="505"/>
        <v>0</v>
      </c>
      <c r="FD187" s="46">
        <f t="shared" si="505"/>
        <v>0</v>
      </c>
    </row>
    <row r="188" spans="1:160" ht="18.75" x14ac:dyDescent="0.25">
      <c r="A188" s="37">
        <v>2</v>
      </c>
      <c r="B188" s="37"/>
      <c r="C188" s="91" t="s">
        <v>188</v>
      </c>
      <c r="D188" s="38" t="s">
        <v>409</v>
      </c>
      <c r="E188" s="39"/>
      <c r="F188" s="40">
        <v>2482.77</v>
      </c>
      <c r="G188" s="40">
        <v>589.26</v>
      </c>
      <c r="H188" s="40">
        <v>2495</v>
      </c>
      <c r="I188" s="40">
        <v>609.26</v>
      </c>
      <c r="J188" s="41">
        <v>2650</v>
      </c>
      <c r="K188" s="41">
        <v>137</v>
      </c>
      <c r="L188" s="41">
        <v>0.1</v>
      </c>
      <c r="M188" s="41">
        <f t="shared" ref="M188:M190" si="506">J188+K188+L188</f>
        <v>2787.1</v>
      </c>
      <c r="N188" s="41">
        <v>0</v>
      </c>
      <c r="O188" s="41">
        <v>0</v>
      </c>
      <c r="P188" s="41">
        <v>0</v>
      </c>
      <c r="Q188" s="41">
        <f t="shared" ref="Q188:Q190" si="507">N188+O188+P188</f>
        <v>0</v>
      </c>
      <c r="R188" s="41">
        <f t="shared" ref="R188:R190" si="508">+Q188+M188</f>
        <v>2787.1</v>
      </c>
      <c r="S188" s="41">
        <v>300</v>
      </c>
      <c r="T188" s="92"/>
      <c r="U188" s="92"/>
      <c r="V188" s="70">
        <f t="shared" ref="V188:V190" si="509">ROUND(H188*1.0583,2)</f>
        <v>2640.46</v>
      </c>
      <c r="W188" s="40">
        <f t="shared" ref="W188:W190" si="510">ROUND(I188*1.0327,2)</f>
        <v>629.17999999999995</v>
      </c>
      <c r="X188" s="43">
        <f t="shared" si="352"/>
        <v>146.63999999999987</v>
      </c>
      <c r="Y188" s="43">
        <f t="shared" si="352"/>
        <v>-329.17999999999995</v>
      </c>
      <c r="Z188" s="43">
        <v>2640.46</v>
      </c>
      <c r="AA188" s="43"/>
      <c r="AB188" s="43">
        <f t="shared" si="360"/>
        <v>2640.46</v>
      </c>
      <c r="AC188" s="43">
        <f t="shared" si="361"/>
        <v>0</v>
      </c>
      <c r="AD188" s="43">
        <f t="shared" ref="AD188:AE190" si="511">IF(X188&gt;0,V188,R188)</f>
        <v>2640.46</v>
      </c>
      <c r="AE188" s="43">
        <f t="shared" si="511"/>
        <v>300</v>
      </c>
      <c r="AF188" s="43">
        <f t="shared" si="373"/>
        <v>270.66000000000003</v>
      </c>
      <c r="AG188" s="43">
        <f t="shared" si="353"/>
        <v>660</v>
      </c>
      <c r="AH188" s="43">
        <f t="shared" si="353"/>
        <v>75</v>
      </c>
      <c r="AI188" s="93">
        <f t="shared" si="354"/>
        <v>220</v>
      </c>
      <c r="AJ188" s="43">
        <f t="shared" si="354"/>
        <v>25</v>
      </c>
      <c r="AK188" s="43"/>
      <c r="AL188" s="43">
        <v>140</v>
      </c>
      <c r="AM188" s="43">
        <f t="shared" si="374"/>
        <v>660.12</v>
      </c>
      <c r="AN188" s="43">
        <f t="shared" si="375"/>
        <v>73.05</v>
      </c>
      <c r="AO188" s="43"/>
      <c r="AP188" s="43"/>
      <c r="AQ188" s="43">
        <f t="shared" si="355"/>
        <v>1320.12</v>
      </c>
      <c r="AR188" s="43">
        <f t="shared" si="355"/>
        <v>288.05</v>
      </c>
      <c r="AS188" s="43"/>
      <c r="AT188" s="43"/>
      <c r="AU188" s="43">
        <f t="shared" si="424"/>
        <v>660.12</v>
      </c>
      <c r="AV188" s="74">
        <f>ROUND(AE188*25%,2)-43.15</f>
        <v>31.85</v>
      </c>
      <c r="AW188" s="74"/>
      <c r="AX188" s="74"/>
      <c r="AY188" s="43">
        <f t="shared" si="349"/>
        <v>2200.2399999999998</v>
      </c>
      <c r="AZ188" s="43">
        <f t="shared" si="349"/>
        <v>344.90000000000003</v>
      </c>
      <c r="BA188" s="43">
        <f t="shared" si="356"/>
        <v>2545.14</v>
      </c>
      <c r="BB188" s="60">
        <v>2097.87</v>
      </c>
      <c r="BC188" s="60">
        <v>290.13</v>
      </c>
      <c r="BD188" s="60">
        <f t="shared" si="350"/>
        <v>102.36999999999989</v>
      </c>
      <c r="BE188" s="60">
        <f t="shared" si="350"/>
        <v>54.770000000000039</v>
      </c>
      <c r="BF188" s="60">
        <f t="shared" si="351"/>
        <v>419.57</v>
      </c>
      <c r="BG188" s="60">
        <f t="shared" si="351"/>
        <v>58.03</v>
      </c>
      <c r="BH188" s="43">
        <v>150.53</v>
      </c>
      <c r="BI188" s="43">
        <v>0</v>
      </c>
      <c r="BJ188" s="43"/>
      <c r="BK188" s="43"/>
      <c r="BL188" s="43">
        <f t="shared" si="358"/>
        <v>2350.77</v>
      </c>
      <c r="BM188" s="43">
        <f t="shared" si="358"/>
        <v>344.90000000000003</v>
      </c>
      <c r="BN188" s="43">
        <f t="shared" si="376"/>
        <v>2695.67</v>
      </c>
      <c r="BO188" s="43">
        <v>2322.83</v>
      </c>
      <c r="BP188" s="93">
        <v>299.08</v>
      </c>
      <c r="BQ188" s="43">
        <f t="shared" si="377"/>
        <v>27.940000000000055</v>
      </c>
      <c r="BR188" s="43">
        <f t="shared" si="377"/>
        <v>45.82000000000005</v>
      </c>
      <c r="BS188" s="43">
        <f t="shared" si="378"/>
        <v>211.17</v>
      </c>
      <c r="BT188" s="43">
        <f t="shared" si="378"/>
        <v>27.19</v>
      </c>
      <c r="BU188" s="43">
        <f>BS188-BQ188+10+10</f>
        <v>203.22999999999993</v>
      </c>
      <c r="BV188" s="43">
        <v>0</v>
      </c>
      <c r="BW188" s="43">
        <v>5</v>
      </c>
      <c r="BX188" s="43"/>
      <c r="BY188" s="43"/>
      <c r="BZ188" s="43"/>
      <c r="CA188" s="43">
        <v>2559</v>
      </c>
      <c r="CB188" s="43">
        <v>344.90000000000003</v>
      </c>
      <c r="CC188" s="92">
        <v>2814.9</v>
      </c>
      <c r="CD188" s="92">
        <v>396.64</v>
      </c>
      <c r="CE188" s="92">
        <v>235</v>
      </c>
      <c r="CF188" s="92">
        <v>33</v>
      </c>
      <c r="CG188" s="92">
        <f t="shared" si="379"/>
        <v>639.75</v>
      </c>
      <c r="CH188" s="92">
        <f t="shared" si="379"/>
        <v>86.23</v>
      </c>
      <c r="CI188" s="43"/>
      <c r="CJ188" s="43"/>
      <c r="CK188" s="43">
        <v>690</v>
      </c>
      <c r="CL188" s="72">
        <f>120-20-5</f>
        <v>95</v>
      </c>
      <c r="CM188" s="72">
        <v>55</v>
      </c>
      <c r="CN188" s="72"/>
      <c r="CO188" s="43">
        <v>2600</v>
      </c>
      <c r="CP188" s="43">
        <v>460</v>
      </c>
      <c r="CQ188" s="43">
        <v>2760</v>
      </c>
      <c r="CR188" s="43">
        <v>380</v>
      </c>
      <c r="CS188" s="43">
        <v>2600</v>
      </c>
      <c r="CT188" s="43">
        <v>380</v>
      </c>
      <c r="CU188" s="43">
        <v>2600</v>
      </c>
      <c r="CV188" s="43">
        <f>28.42+380</f>
        <v>408.42</v>
      </c>
      <c r="CW188" s="43">
        <v>685</v>
      </c>
      <c r="CX188" s="43">
        <v>120</v>
      </c>
      <c r="CY188" s="43"/>
      <c r="CZ188" s="43"/>
      <c r="DA188" s="43">
        <v>1665</v>
      </c>
      <c r="DB188" s="43">
        <v>248</v>
      </c>
      <c r="DC188" s="43">
        <v>1669.77</v>
      </c>
      <c r="DD188" s="43">
        <v>243.42</v>
      </c>
      <c r="DE188" s="43">
        <v>-4.7699999999999818</v>
      </c>
      <c r="DF188" s="43">
        <v>4.5800000000000125</v>
      </c>
      <c r="DG188" s="43">
        <v>650</v>
      </c>
      <c r="DH188" s="43">
        <v>95</v>
      </c>
      <c r="DI188" s="43">
        <v>654.77</v>
      </c>
      <c r="DJ188" s="43">
        <v>90.419999999999987</v>
      </c>
      <c r="DK188" s="43">
        <v>72</v>
      </c>
      <c r="DL188" s="43">
        <v>70</v>
      </c>
      <c r="DM188" s="43">
        <v>2391.77</v>
      </c>
      <c r="DN188" s="43">
        <v>408.41999999999996</v>
      </c>
      <c r="DO188" s="94">
        <v>2387.12</v>
      </c>
      <c r="DP188" s="95">
        <v>402.23</v>
      </c>
      <c r="DQ188" s="60">
        <f t="shared" si="386"/>
        <v>4.6500000000000004</v>
      </c>
      <c r="DR188" s="60">
        <f t="shared" si="386"/>
        <v>6.19</v>
      </c>
      <c r="DS188" s="60">
        <f t="shared" si="387"/>
        <v>238.71199999999999</v>
      </c>
      <c r="DT188" s="60">
        <f t="shared" si="387"/>
        <v>40.222999999999999</v>
      </c>
      <c r="DU188" s="60">
        <f t="shared" si="388"/>
        <v>234.06199999999998</v>
      </c>
      <c r="DV188" s="60">
        <f t="shared" si="388"/>
        <v>34.033000000000001</v>
      </c>
      <c r="DW188" s="111">
        <v>72</v>
      </c>
      <c r="DX188" s="111">
        <v>70</v>
      </c>
      <c r="DY188" s="60">
        <f t="shared" si="389"/>
        <v>306.06</v>
      </c>
      <c r="DZ188" s="60">
        <v>78</v>
      </c>
      <c r="EA188" s="60"/>
      <c r="EB188" s="60"/>
      <c r="EC188" s="43">
        <f t="shared" si="390"/>
        <v>2697.83</v>
      </c>
      <c r="ED188" s="43">
        <f t="shared" si="390"/>
        <v>486.41999999999996</v>
      </c>
      <c r="EE188" s="43">
        <v>2657.91</v>
      </c>
      <c r="EF188" s="43">
        <v>474.33</v>
      </c>
      <c r="EG188" s="43">
        <f t="shared" si="423"/>
        <v>98.52</v>
      </c>
      <c r="EH188" s="43">
        <f t="shared" si="423"/>
        <v>97.51</v>
      </c>
      <c r="EI188" s="43">
        <f t="shared" si="391"/>
        <v>39.92</v>
      </c>
      <c r="EJ188" s="43">
        <f t="shared" si="391"/>
        <v>12.09</v>
      </c>
      <c r="EK188" s="43">
        <f t="shared" si="392"/>
        <v>241.63</v>
      </c>
      <c r="EL188" s="43">
        <f t="shared" si="392"/>
        <v>43.12</v>
      </c>
      <c r="EM188" s="43">
        <f t="shared" si="393"/>
        <v>201.70999999999998</v>
      </c>
      <c r="EN188" s="43">
        <f t="shared" si="393"/>
        <v>31.029999999999998</v>
      </c>
      <c r="EO188" s="43">
        <v>220</v>
      </c>
      <c r="EP188" s="43">
        <v>70</v>
      </c>
      <c r="EQ188" s="5"/>
      <c r="ER188" s="5"/>
      <c r="ES188" s="5"/>
      <c r="ET188" s="5"/>
      <c r="EU188" s="5">
        <f t="shared" si="442"/>
        <v>-67.829999999999927</v>
      </c>
      <c r="EV188" s="5">
        <f t="shared" si="442"/>
        <v>23.580000000000041</v>
      </c>
      <c r="EW188" s="5">
        <v>2850</v>
      </c>
      <c r="EX188" s="5">
        <v>580</v>
      </c>
      <c r="EY188" s="5">
        <v>3020</v>
      </c>
      <c r="EZ188" s="5">
        <v>440</v>
      </c>
      <c r="FA188" s="5">
        <v>217</v>
      </c>
      <c r="FB188" s="5">
        <v>78</v>
      </c>
      <c r="FC188" t="s">
        <v>410</v>
      </c>
    </row>
    <row r="189" spans="1:160" ht="37.5" x14ac:dyDescent="0.25">
      <c r="A189" s="37">
        <v>3</v>
      </c>
      <c r="B189" s="37"/>
      <c r="C189" s="91" t="s">
        <v>188</v>
      </c>
      <c r="D189" s="38" t="s">
        <v>411</v>
      </c>
      <c r="E189" s="39"/>
      <c r="F189" s="40">
        <v>1898.8199999999997</v>
      </c>
      <c r="G189" s="40">
        <v>0</v>
      </c>
      <c r="H189" s="40">
        <v>2043.8199999999997</v>
      </c>
      <c r="I189" s="40">
        <v>0</v>
      </c>
      <c r="J189" s="41">
        <v>2555.27</v>
      </c>
      <c r="K189" s="41"/>
      <c r="L189" s="41"/>
      <c r="M189" s="41">
        <f t="shared" si="506"/>
        <v>2555.27</v>
      </c>
      <c r="N189" s="41"/>
      <c r="O189" s="41"/>
      <c r="P189" s="41"/>
      <c r="Q189" s="41">
        <f t="shared" si="507"/>
        <v>0</v>
      </c>
      <c r="R189" s="41">
        <f t="shared" si="508"/>
        <v>2555.27</v>
      </c>
      <c r="S189" s="41"/>
      <c r="T189" s="92"/>
      <c r="U189" s="92"/>
      <c r="V189" s="70">
        <f t="shared" si="509"/>
        <v>2162.9699999999998</v>
      </c>
      <c r="W189" s="40">
        <f t="shared" si="510"/>
        <v>0</v>
      </c>
      <c r="X189" s="43">
        <f t="shared" si="352"/>
        <v>392.30000000000018</v>
      </c>
      <c r="Y189" s="43">
        <f t="shared" si="352"/>
        <v>0</v>
      </c>
      <c r="Z189" s="43">
        <v>2162.9699999999998</v>
      </c>
      <c r="AA189" s="43"/>
      <c r="AB189" s="43">
        <f t="shared" si="360"/>
        <v>2162.9699999999998</v>
      </c>
      <c r="AC189" s="43">
        <f t="shared" si="361"/>
        <v>0</v>
      </c>
      <c r="AD189" s="43">
        <f t="shared" si="511"/>
        <v>2162.9699999999998</v>
      </c>
      <c r="AE189" s="43">
        <f t="shared" si="511"/>
        <v>0</v>
      </c>
      <c r="AF189" s="43">
        <f t="shared" si="373"/>
        <v>0</v>
      </c>
      <c r="AG189" s="43">
        <f t="shared" si="353"/>
        <v>541</v>
      </c>
      <c r="AH189" s="43">
        <f t="shared" si="353"/>
        <v>0</v>
      </c>
      <c r="AI189" s="93">
        <f t="shared" si="354"/>
        <v>180</v>
      </c>
      <c r="AJ189" s="43">
        <f t="shared" si="354"/>
        <v>0</v>
      </c>
      <c r="AK189" s="43"/>
      <c r="AL189" s="43"/>
      <c r="AM189" s="43">
        <f t="shared" si="374"/>
        <v>540.74</v>
      </c>
      <c r="AN189" s="43">
        <f t="shared" si="375"/>
        <v>0</v>
      </c>
      <c r="AO189" s="43"/>
      <c r="AP189" s="43"/>
      <c r="AQ189" s="43">
        <f t="shared" si="355"/>
        <v>1081.74</v>
      </c>
      <c r="AR189" s="43">
        <f t="shared" si="355"/>
        <v>0</v>
      </c>
      <c r="AS189" s="43"/>
      <c r="AT189" s="43"/>
      <c r="AU189" s="43">
        <f t="shared" si="424"/>
        <v>540.74</v>
      </c>
      <c r="AV189" s="43">
        <f t="shared" si="424"/>
        <v>0</v>
      </c>
      <c r="AW189" s="43"/>
      <c r="AX189" s="43"/>
      <c r="AY189" s="43">
        <f t="shared" si="349"/>
        <v>1802.48</v>
      </c>
      <c r="AZ189" s="43">
        <f t="shared" si="349"/>
        <v>0</v>
      </c>
      <c r="BA189" s="43">
        <f t="shared" si="356"/>
        <v>1802.48</v>
      </c>
      <c r="BB189" s="60">
        <v>1723.96</v>
      </c>
      <c r="BC189" s="60"/>
      <c r="BD189" s="60">
        <f t="shared" si="350"/>
        <v>78.519999999999982</v>
      </c>
      <c r="BE189" s="60">
        <f t="shared" si="350"/>
        <v>0</v>
      </c>
      <c r="BF189" s="60">
        <f t="shared" si="351"/>
        <v>344.79</v>
      </c>
      <c r="BG189" s="60">
        <f t="shared" si="351"/>
        <v>0</v>
      </c>
      <c r="BH189" s="43">
        <v>133.13999999999999</v>
      </c>
      <c r="BI189" s="43">
        <v>0</v>
      </c>
      <c r="BJ189" s="43"/>
      <c r="BK189" s="43"/>
      <c r="BL189" s="43">
        <f t="shared" si="358"/>
        <v>1935.62</v>
      </c>
      <c r="BM189" s="43">
        <f t="shared" si="358"/>
        <v>0</v>
      </c>
      <c r="BN189" s="43">
        <f t="shared" si="376"/>
        <v>1935.62</v>
      </c>
      <c r="BO189" s="43">
        <v>1723.96</v>
      </c>
      <c r="BP189" s="93"/>
      <c r="BQ189" s="43">
        <f t="shared" si="377"/>
        <v>211.65999999999985</v>
      </c>
      <c r="BR189" s="43">
        <f t="shared" si="377"/>
        <v>0</v>
      </c>
      <c r="BS189" s="43">
        <f t="shared" si="378"/>
        <v>156.72</v>
      </c>
      <c r="BT189" s="43">
        <f t="shared" si="378"/>
        <v>0</v>
      </c>
      <c r="BU189" s="43">
        <v>0</v>
      </c>
      <c r="BV189" s="43">
        <v>0</v>
      </c>
      <c r="BW189" s="43">
        <v>221.62</v>
      </c>
      <c r="BX189" s="43"/>
      <c r="BY189" s="43"/>
      <c r="BZ189" s="43"/>
      <c r="CA189" s="43">
        <v>2157.2399999999998</v>
      </c>
      <c r="CB189" s="43">
        <v>0</v>
      </c>
      <c r="CC189" s="92">
        <v>2372.96</v>
      </c>
      <c r="CD189" s="92">
        <v>0</v>
      </c>
      <c r="CE189" s="92">
        <v>198</v>
      </c>
      <c r="CF189" s="92">
        <v>0</v>
      </c>
      <c r="CG189" s="92">
        <f t="shared" si="379"/>
        <v>539.30999999999995</v>
      </c>
      <c r="CH189" s="92">
        <f t="shared" si="379"/>
        <v>0</v>
      </c>
      <c r="CI189" s="43"/>
      <c r="CJ189" s="43"/>
      <c r="CK189" s="43">
        <v>590</v>
      </c>
      <c r="CL189" s="43"/>
      <c r="CM189" s="43"/>
      <c r="CN189" s="43"/>
      <c r="CO189" s="43">
        <v>2666.36</v>
      </c>
      <c r="CP189" s="43"/>
      <c r="CQ189" s="43">
        <f t="shared" si="380"/>
        <v>2360</v>
      </c>
      <c r="CR189" s="43">
        <f t="shared" si="380"/>
        <v>0</v>
      </c>
      <c r="CS189" s="43">
        <f t="shared" si="381"/>
        <v>2360</v>
      </c>
      <c r="CT189" s="43">
        <f t="shared" si="381"/>
        <v>0</v>
      </c>
      <c r="CU189" s="43">
        <f t="shared" si="381"/>
        <v>2360</v>
      </c>
      <c r="CV189" s="43">
        <f t="shared" si="381"/>
        <v>0</v>
      </c>
      <c r="CW189" s="43">
        <f t="shared" si="382"/>
        <v>590</v>
      </c>
      <c r="CX189" s="43">
        <f t="shared" si="382"/>
        <v>0</v>
      </c>
      <c r="CY189" s="43"/>
      <c r="CZ189" s="43"/>
      <c r="DA189" s="43">
        <f t="shared" si="383"/>
        <v>1378</v>
      </c>
      <c r="DB189" s="43">
        <f t="shared" si="383"/>
        <v>0</v>
      </c>
      <c r="DC189" s="43">
        <v>1377.87</v>
      </c>
      <c r="DD189" s="43">
        <v>0</v>
      </c>
      <c r="DE189" s="43">
        <f t="shared" si="384"/>
        <v>0.13000000000010914</v>
      </c>
      <c r="DF189" s="43">
        <f t="shared" si="384"/>
        <v>0</v>
      </c>
      <c r="DG189" s="43">
        <f>ROUND(0.25*(MIN(CU189,EW189)),2)</f>
        <v>590</v>
      </c>
      <c r="DH189" s="43">
        <f>ROUND(0.25*(MIN(CV189,EX189)),2)</f>
        <v>0</v>
      </c>
      <c r="DI189" s="43">
        <f t="shared" ref="DI189:DI190" si="512">+DG189-DE189</f>
        <v>589.86999999999989</v>
      </c>
      <c r="DJ189" s="43">
        <f>+DH189-DF189</f>
        <v>0</v>
      </c>
      <c r="DK189" s="43"/>
      <c r="DL189" s="43"/>
      <c r="DM189" s="43">
        <f t="shared" si="385"/>
        <v>1967.87</v>
      </c>
      <c r="DN189" s="43">
        <f t="shared" si="385"/>
        <v>0</v>
      </c>
      <c r="DO189" s="94">
        <v>1812.41</v>
      </c>
      <c r="DP189" s="95">
        <v>0</v>
      </c>
      <c r="DQ189" s="60">
        <f t="shared" si="386"/>
        <v>155.46</v>
      </c>
      <c r="DR189" s="60">
        <f t="shared" si="386"/>
        <v>0</v>
      </c>
      <c r="DS189" s="60">
        <f t="shared" si="387"/>
        <v>181.24100000000001</v>
      </c>
      <c r="DT189" s="60">
        <f t="shared" si="387"/>
        <v>0</v>
      </c>
      <c r="DU189" s="60">
        <f t="shared" si="388"/>
        <v>25.781000000000006</v>
      </c>
      <c r="DV189" s="60">
        <f t="shared" si="388"/>
        <v>0</v>
      </c>
      <c r="DW189" s="60"/>
      <c r="DX189" s="60"/>
      <c r="DY189" s="60">
        <f>ROUND(DU189+DW189,2)-25.78</f>
        <v>0</v>
      </c>
      <c r="DZ189" s="60">
        <f t="shared" si="389"/>
        <v>0</v>
      </c>
      <c r="EA189" s="60"/>
      <c r="EB189" s="60"/>
      <c r="EC189" s="43">
        <f t="shared" si="390"/>
        <v>1967.87</v>
      </c>
      <c r="ED189" s="43">
        <f t="shared" si="390"/>
        <v>0</v>
      </c>
      <c r="EE189" s="43">
        <v>1812.41</v>
      </c>
      <c r="EF189" s="43"/>
      <c r="EG189" s="43">
        <f t="shared" si="423"/>
        <v>92.1</v>
      </c>
      <c r="EH189" s="43" t="e">
        <f t="shared" si="423"/>
        <v>#DIV/0!</v>
      </c>
      <c r="EI189" s="43">
        <f t="shared" si="391"/>
        <v>155.46</v>
      </c>
      <c r="EJ189" s="43">
        <f t="shared" si="391"/>
        <v>0</v>
      </c>
      <c r="EK189" s="43">
        <f t="shared" si="392"/>
        <v>164.76</v>
      </c>
      <c r="EL189" s="43">
        <f t="shared" si="392"/>
        <v>0</v>
      </c>
      <c r="EM189" s="43">
        <f t="shared" si="393"/>
        <v>9.2999999999999829</v>
      </c>
      <c r="EN189" s="43">
        <f t="shared" si="393"/>
        <v>0</v>
      </c>
      <c r="EO189" s="43">
        <v>0</v>
      </c>
      <c r="EP189" s="43">
        <v>0</v>
      </c>
      <c r="EQ189" s="5"/>
      <c r="ER189" s="5"/>
      <c r="ES189" s="5">
        <v>32.130000000000003</v>
      </c>
      <c r="ET189" s="5"/>
      <c r="EU189" s="5">
        <f t="shared" si="442"/>
        <v>392.13000000000011</v>
      </c>
      <c r="EV189" s="5">
        <f t="shared" si="442"/>
        <v>0</v>
      </c>
      <c r="EW189" s="5">
        <v>2360</v>
      </c>
      <c r="EY189" s="5">
        <v>2714</v>
      </c>
    </row>
    <row r="190" spans="1:160" ht="37.5" x14ac:dyDescent="0.25">
      <c r="A190" s="37">
        <v>4</v>
      </c>
      <c r="B190" s="37"/>
      <c r="C190" s="91" t="s">
        <v>188</v>
      </c>
      <c r="D190" s="38" t="s">
        <v>412</v>
      </c>
      <c r="E190" s="39"/>
      <c r="F190" s="40">
        <v>506.23</v>
      </c>
      <c r="G190" s="40">
        <v>0</v>
      </c>
      <c r="H190" s="40">
        <v>586.23</v>
      </c>
      <c r="I190" s="40">
        <v>0</v>
      </c>
      <c r="J190" s="41">
        <v>681.26</v>
      </c>
      <c r="K190" s="41"/>
      <c r="L190" s="41"/>
      <c r="M190" s="41">
        <f t="shared" si="506"/>
        <v>681.26</v>
      </c>
      <c r="N190" s="41"/>
      <c r="O190" s="41"/>
      <c r="P190" s="41"/>
      <c r="Q190" s="41">
        <f t="shared" si="507"/>
        <v>0</v>
      </c>
      <c r="R190" s="41">
        <f t="shared" si="508"/>
        <v>681.26</v>
      </c>
      <c r="S190" s="41"/>
      <c r="T190" s="92"/>
      <c r="U190" s="92"/>
      <c r="V190" s="70">
        <f t="shared" si="509"/>
        <v>620.41</v>
      </c>
      <c r="W190" s="40">
        <f t="shared" si="510"/>
        <v>0</v>
      </c>
      <c r="X190" s="43">
        <f t="shared" si="352"/>
        <v>60.850000000000023</v>
      </c>
      <c r="Y190" s="43">
        <f t="shared" si="352"/>
        <v>0</v>
      </c>
      <c r="Z190" s="43">
        <v>620.41</v>
      </c>
      <c r="AA190" s="43"/>
      <c r="AB190" s="43">
        <f t="shared" si="360"/>
        <v>620.41</v>
      </c>
      <c r="AC190" s="43">
        <f t="shared" si="361"/>
        <v>0</v>
      </c>
      <c r="AD190" s="43">
        <f t="shared" si="511"/>
        <v>620.41</v>
      </c>
      <c r="AE190" s="43">
        <f t="shared" si="511"/>
        <v>0</v>
      </c>
      <c r="AF190" s="43">
        <f t="shared" si="373"/>
        <v>0</v>
      </c>
      <c r="AG190" s="43">
        <f t="shared" si="353"/>
        <v>155</v>
      </c>
      <c r="AH190" s="43">
        <f t="shared" si="353"/>
        <v>0</v>
      </c>
      <c r="AI190" s="93">
        <f t="shared" si="354"/>
        <v>52</v>
      </c>
      <c r="AJ190" s="43">
        <f t="shared" si="354"/>
        <v>0</v>
      </c>
      <c r="AK190" s="43"/>
      <c r="AL190" s="43"/>
      <c r="AM190" s="43">
        <f t="shared" si="374"/>
        <v>155.1</v>
      </c>
      <c r="AN190" s="43">
        <f t="shared" si="375"/>
        <v>0</v>
      </c>
      <c r="AO190" s="43"/>
      <c r="AP190" s="43"/>
      <c r="AQ190" s="43">
        <f t="shared" si="355"/>
        <v>310.10000000000002</v>
      </c>
      <c r="AR190" s="43">
        <f t="shared" si="355"/>
        <v>0</v>
      </c>
      <c r="AS190" s="43"/>
      <c r="AT190" s="43"/>
      <c r="AU190" s="43">
        <f t="shared" si="424"/>
        <v>155.1</v>
      </c>
      <c r="AV190" s="43">
        <f t="shared" si="424"/>
        <v>0</v>
      </c>
      <c r="AW190" s="43"/>
      <c r="AX190" s="43"/>
      <c r="AY190" s="43">
        <f t="shared" si="349"/>
        <v>517.20000000000005</v>
      </c>
      <c r="AZ190" s="43">
        <f t="shared" si="349"/>
        <v>0</v>
      </c>
      <c r="BA190" s="43">
        <f t="shared" si="356"/>
        <v>517.20000000000005</v>
      </c>
      <c r="BB190" s="60">
        <v>512.33000000000004</v>
      </c>
      <c r="BC190" s="60"/>
      <c r="BD190" s="60">
        <f t="shared" si="350"/>
        <v>4.8700000000000045</v>
      </c>
      <c r="BE190" s="60">
        <f t="shared" si="350"/>
        <v>0</v>
      </c>
      <c r="BF190" s="60">
        <f t="shared" si="351"/>
        <v>102.47</v>
      </c>
      <c r="BG190" s="60">
        <f t="shared" si="351"/>
        <v>0</v>
      </c>
      <c r="BH190" s="43">
        <v>45.68</v>
      </c>
      <c r="BI190" s="43">
        <v>0</v>
      </c>
      <c r="BJ190" s="43"/>
      <c r="BK190" s="43"/>
      <c r="BL190" s="43">
        <f t="shared" si="358"/>
        <v>562.88</v>
      </c>
      <c r="BM190" s="43">
        <f t="shared" si="358"/>
        <v>0</v>
      </c>
      <c r="BN190" s="43">
        <f t="shared" si="376"/>
        <v>562.88</v>
      </c>
      <c r="BO190" s="43">
        <v>512.33000000000004</v>
      </c>
      <c r="BP190" s="93"/>
      <c r="BQ190" s="43">
        <f t="shared" si="377"/>
        <v>50.549999999999955</v>
      </c>
      <c r="BR190" s="43">
        <f t="shared" si="377"/>
        <v>0</v>
      </c>
      <c r="BS190" s="43">
        <f t="shared" si="378"/>
        <v>46.58</v>
      </c>
      <c r="BT190" s="43">
        <f t="shared" si="378"/>
        <v>0</v>
      </c>
      <c r="BU190" s="43">
        <v>0</v>
      </c>
      <c r="BV190" s="43">
        <v>0</v>
      </c>
      <c r="BW190" s="43">
        <v>6</v>
      </c>
      <c r="BX190" s="43"/>
      <c r="BY190" s="43"/>
      <c r="BZ190" s="43"/>
      <c r="CA190" s="43">
        <v>568.88</v>
      </c>
      <c r="CB190" s="43">
        <v>0</v>
      </c>
      <c r="CC190" s="92">
        <v>625.77</v>
      </c>
      <c r="CD190" s="92">
        <v>0</v>
      </c>
      <c r="CE190" s="92">
        <v>52</v>
      </c>
      <c r="CF190" s="92">
        <v>0</v>
      </c>
      <c r="CG190" s="92">
        <f t="shared" si="379"/>
        <v>142.22</v>
      </c>
      <c r="CH190" s="92">
        <f t="shared" si="379"/>
        <v>0</v>
      </c>
      <c r="CI190" s="43"/>
      <c r="CJ190" s="43"/>
      <c r="CK190" s="43">
        <v>160</v>
      </c>
      <c r="CL190" s="43"/>
      <c r="CM190" s="43"/>
      <c r="CN190" s="43"/>
      <c r="CO190" s="43">
        <v>680.8</v>
      </c>
      <c r="CP190" s="43"/>
      <c r="CQ190" s="43">
        <f t="shared" si="380"/>
        <v>640</v>
      </c>
      <c r="CR190" s="43">
        <f t="shared" si="380"/>
        <v>0</v>
      </c>
      <c r="CS190" s="43">
        <f t="shared" si="381"/>
        <v>640</v>
      </c>
      <c r="CT190" s="43">
        <f t="shared" si="381"/>
        <v>0</v>
      </c>
      <c r="CU190" s="43">
        <f t="shared" si="381"/>
        <v>640</v>
      </c>
      <c r="CV190" s="43">
        <f t="shared" si="381"/>
        <v>0</v>
      </c>
      <c r="CW190" s="43">
        <f t="shared" si="382"/>
        <v>160</v>
      </c>
      <c r="CX190" s="43">
        <f t="shared" si="382"/>
        <v>0</v>
      </c>
      <c r="CY190" s="43"/>
      <c r="CZ190" s="43"/>
      <c r="DA190" s="43">
        <f t="shared" si="383"/>
        <v>372</v>
      </c>
      <c r="DB190" s="43">
        <f t="shared" si="383"/>
        <v>0</v>
      </c>
      <c r="DC190" s="43">
        <v>372</v>
      </c>
      <c r="DD190" s="43">
        <v>0</v>
      </c>
      <c r="DE190" s="43">
        <f t="shared" si="384"/>
        <v>0</v>
      </c>
      <c r="DF190" s="43">
        <f t="shared" si="384"/>
        <v>0</v>
      </c>
      <c r="DG190" s="43">
        <f>ROUND(0.25*(MIN(CU190,EW190)),2)</f>
        <v>160</v>
      </c>
      <c r="DH190" s="43">
        <f>ROUND(0.25*(MIN(CV190,EX190)),2)</f>
        <v>0</v>
      </c>
      <c r="DI190" s="43">
        <f t="shared" si="512"/>
        <v>160</v>
      </c>
      <c r="DJ190" s="43">
        <f>+DH190-DF190</f>
        <v>0</v>
      </c>
      <c r="DK190" s="43"/>
      <c r="DL190" s="43"/>
      <c r="DM190" s="43">
        <f t="shared" si="385"/>
        <v>532</v>
      </c>
      <c r="DN190" s="43">
        <f t="shared" si="385"/>
        <v>0</v>
      </c>
      <c r="DO190" s="94">
        <v>532</v>
      </c>
      <c r="DP190" s="95">
        <v>0</v>
      </c>
      <c r="DQ190" s="60">
        <f t="shared" si="386"/>
        <v>0</v>
      </c>
      <c r="DR190" s="60">
        <f t="shared" si="386"/>
        <v>0</v>
      </c>
      <c r="DS190" s="60">
        <f t="shared" si="387"/>
        <v>53.2</v>
      </c>
      <c r="DT190" s="60">
        <f t="shared" si="387"/>
        <v>0</v>
      </c>
      <c r="DU190" s="60">
        <f t="shared" si="388"/>
        <v>53.2</v>
      </c>
      <c r="DV190" s="60">
        <f t="shared" si="388"/>
        <v>0</v>
      </c>
      <c r="DW190" s="60"/>
      <c r="DX190" s="60"/>
      <c r="DY190" s="60">
        <f>ROUND(DU190+DW190,2)+85.93</f>
        <v>139.13</v>
      </c>
      <c r="DZ190" s="60">
        <f t="shared" si="389"/>
        <v>0</v>
      </c>
      <c r="EA190" s="60"/>
      <c r="EB190" s="60"/>
      <c r="EC190" s="43">
        <f t="shared" si="390"/>
        <v>671.13</v>
      </c>
      <c r="ED190" s="43">
        <f t="shared" si="390"/>
        <v>0</v>
      </c>
      <c r="EE190" s="43">
        <v>532</v>
      </c>
      <c r="EF190" s="43"/>
      <c r="EG190" s="43">
        <f t="shared" si="423"/>
        <v>79.27</v>
      </c>
      <c r="EH190" s="43" t="e">
        <f t="shared" si="423"/>
        <v>#DIV/0!</v>
      </c>
      <c r="EI190" s="43">
        <f t="shared" si="391"/>
        <v>139.13</v>
      </c>
      <c r="EJ190" s="43">
        <f t="shared" si="391"/>
        <v>0</v>
      </c>
      <c r="EK190" s="43">
        <f t="shared" si="392"/>
        <v>48.36</v>
      </c>
      <c r="EL190" s="43">
        <f t="shared" si="392"/>
        <v>0</v>
      </c>
      <c r="EM190" s="43">
        <f t="shared" si="393"/>
        <v>-90.77</v>
      </c>
      <c r="EN190" s="43">
        <f t="shared" si="393"/>
        <v>0</v>
      </c>
      <c r="EO190" s="43">
        <v>0</v>
      </c>
      <c r="EP190" s="43">
        <v>0</v>
      </c>
      <c r="EQ190" s="5"/>
      <c r="ER190" s="5"/>
      <c r="ES190" s="5">
        <v>139.13</v>
      </c>
      <c r="ET190" s="5"/>
      <c r="EU190" s="5">
        <f t="shared" si="442"/>
        <v>-31.129999999999995</v>
      </c>
      <c r="EV190" s="5">
        <f t="shared" si="442"/>
        <v>0</v>
      </c>
      <c r="EW190" s="5">
        <v>640</v>
      </c>
      <c r="EY190" s="5">
        <v>736</v>
      </c>
    </row>
    <row r="191" spans="1:160" ht="18.75" x14ac:dyDescent="0.25">
      <c r="A191" s="68"/>
      <c r="B191" s="68" t="s">
        <v>413</v>
      </c>
      <c r="C191" s="91" t="s">
        <v>188</v>
      </c>
      <c r="D191" s="67" t="s">
        <v>409</v>
      </c>
      <c r="E191" s="69" t="s">
        <v>414</v>
      </c>
      <c r="F191" s="70">
        <v>4887.82</v>
      </c>
      <c r="G191" s="70">
        <v>589.26</v>
      </c>
      <c r="H191" s="70">
        <v>5125.0499999999993</v>
      </c>
      <c r="I191" s="70">
        <v>609.26</v>
      </c>
      <c r="J191" s="71">
        <f t="shared" ref="J191:AA191" si="513">+J188+J189+J190</f>
        <v>5886.5300000000007</v>
      </c>
      <c r="K191" s="71">
        <f t="shared" si="513"/>
        <v>137</v>
      </c>
      <c r="L191" s="71">
        <f t="shared" si="513"/>
        <v>0.1</v>
      </c>
      <c r="M191" s="71">
        <f t="shared" si="513"/>
        <v>6023.63</v>
      </c>
      <c r="N191" s="71">
        <f t="shared" si="513"/>
        <v>0</v>
      </c>
      <c r="O191" s="71">
        <f t="shared" si="513"/>
        <v>0</v>
      </c>
      <c r="P191" s="71">
        <f t="shared" si="513"/>
        <v>0</v>
      </c>
      <c r="Q191" s="71">
        <f t="shared" si="513"/>
        <v>0</v>
      </c>
      <c r="R191" s="71">
        <f t="shared" si="513"/>
        <v>6023.63</v>
      </c>
      <c r="S191" s="71">
        <f t="shared" si="513"/>
        <v>300</v>
      </c>
      <c r="T191" s="71">
        <f t="shared" si="513"/>
        <v>0</v>
      </c>
      <c r="U191" s="71">
        <f t="shared" si="513"/>
        <v>0</v>
      </c>
      <c r="V191" s="71">
        <f t="shared" si="513"/>
        <v>5423.84</v>
      </c>
      <c r="W191" s="71">
        <f t="shared" si="513"/>
        <v>629.17999999999995</v>
      </c>
      <c r="X191" s="71">
        <f t="shared" si="513"/>
        <v>599.79000000000008</v>
      </c>
      <c r="Y191" s="71">
        <f t="shared" si="513"/>
        <v>-329.17999999999995</v>
      </c>
      <c r="Z191" s="71">
        <f t="shared" si="513"/>
        <v>5423.84</v>
      </c>
      <c r="AA191" s="71">
        <f t="shared" si="513"/>
        <v>0</v>
      </c>
      <c r="AB191" s="70">
        <f t="shared" si="360"/>
        <v>5423.84</v>
      </c>
      <c r="AC191" s="43">
        <f t="shared" si="361"/>
        <v>0</v>
      </c>
      <c r="AD191" s="70">
        <f t="shared" ref="AD191:CO191" si="514">+AD188+AD189+AD190</f>
        <v>5423.84</v>
      </c>
      <c r="AE191" s="70">
        <f t="shared" si="514"/>
        <v>300</v>
      </c>
      <c r="AF191" s="70">
        <f t="shared" si="514"/>
        <v>270.66000000000003</v>
      </c>
      <c r="AG191" s="70">
        <f t="shared" si="514"/>
        <v>1356</v>
      </c>
      <c r="AH191" s="70">
        <f t="shared" si="514"/>
        <v>75</v>
      </c>
      <c r="AI191" s="96">
        <f t="shared" si="514"/>
        <v>452</v>
      </c>
      <c r="AJ191" s="70">
        <f t="shared" si="514"/>
        <v>25</v>
      </c>
      <c r="AK191" s="70">
        <f t="shared" si="514"/>
        <v>0</v>
      </c>
      <c r="AL191" s="70">
        <f t="shared" si="514"/>
        <v>140</v>
      </c>
      <c r="AM191" s="70">
        <f t="shared" si="514"/>
        <v>1355.96</v>
      </c>
      <c r="AN191" s="70">
        <f t="shared" si="514"/>
        <v>73.05</v>
      </c>
      <c r="AO191" s="70">
        <f t="shared" si="514"/>
        <v>0</v>
      </c>
      <c r="AP191" s="70">
        <f t="shared" si="514"/>
        <v>0</v>
      </c>
      <c r="AQ191" s="70">
        <f t="shared" si="514"/>
        <v>2711.9599999999996</v>
      </c>
      <c r="AR191" s="70">
        <f t="shared" si="514"/>
        <v>288.05</v>
      </c>
      <c r="AS191" s="70">
        <f t="shared" si="514"/>
        <v>0</v>
      </c>
      <c r="AT191" s="70">
        <f t="shared" si="514"/>
        <v>0</v>
      </c>
      <c r="AU191" s="70">
        <f t="shared" si="514"/>
        <v>1355.96</v>
      </c>
      <c r="AV191" s="70">
        <f t="shared" si="514"/>
        <v>31.85</v>
      </c>
      <c r="AW191" s="70">
        <f t="shared" si="514"/>
        <v>0</v>
      </c>
      <c r="AX191" s="70">
        <f t="shared" si="514"/>
        <v>0</v>
      </c>
      <c r="AY191" s="70">
        <f t="shared" si="514"/>
        <v>4519.92</v>
      </c>
      <c r="AZ191" s="70">
        <f t="shared" si="514"/>
        <v>344.90000000000003</v>
      </c>
      <c r="BA191" s="70">
        <f t="shared" si="514"/>
        <v>4864.82</v>
      </c>
      <c r="BB191" s="70">
        <f t="shared" si="514"/>
        <v>4334.16</v>
      </c>
      <c r="BC191" s="70">
        <f t="shared" si="514"/>
        <v>290.13</v>
      </c>
      <c r="BD191" s="70">
        <f t="shared" si="514"/>
        <v>185.75999999999988</v>
      </c>
      <c r="BE191" s="70">
        <f t="shared" si="514"/>
        <v>54.770000000000039</v>
      </c>
      <c r="BF191" s="70">
        <f t="shared" si="514"/>
        <v>866.83</v>
      </c>
      <c r="BG191" s="96">
        <f t="shared" si="514"/>
        <v>58.03</v>
      </c>
      <c r="BH191" s="96">
        <f t="shared" si="514"/>
        <v>329.34999999999997</v>
      </c>
      <c r="BI191" s="96">
        <f t="shared" si="514"/>
        <v>0</v>
      </c>
      <c r="BJ191" s="96">
        <f t="shared" si="514"/>
        <v>0</v>
      </c>
      <c r="BK191" s="96">
        <f t="shared" si="514"/>
        <v>0</v>
      </c>
      <c r="BL191" s="96">
        <f t="shared" si="514"/>
        <v>4849.2699999999995</v>
      </c>
      <c r="BM191" s="96">
        <f t="shared" si="514"/>
        <v>344.90000000000003</v>
      </c>
      <c r="BN191" s="96">
        <f t="shared" si="514"/>
        <v>5194.17</v>
      </c>
      <c r="BO191" s="96">
        <f t="shared" si="514"/>
        <v>4559.12</v>
      </c>
      <c r="BP191" s="96">
        <f t="shared" si="514"/>
        <v>299.08</v>
      </c>
      <c r="BQ191" s="70">
        <f t="shared" si="514"/>
        <v>290.14999999999986</v>
      </c>
      <c r="BR191" s="70">
        <f t="shared" si="514"/>
        <v>45.82000000000005</v>
      </c>
      <c r="BS191" s="70">
        <f t="shared" si="514"/>
        <v>414.46999999999997</v>
      </c>
      <c r="BT191" s="70">
        <f t="shared" si="514"/>
        <v>27.19</v>
      </c>
      <c r="BU191" s="70">
        <f t="shared" si="514"/>
        <v>203.22999999999993</v>
      </c>
      <c r="BV191" s="70">
        <f t="shared" si="514"/>
        <v>0</v>
      </c>
      <c r="BW191" s="70">
        <f t="shared" si="514"/>
        <v>232.62</v>
      </c>
      <c r="BX191" s="70">
        <f t="shared" si="514"/>
        <v>0</v>
      </c>
      <c r="BY191" s="70">
        <f t="shared" si="514"/>
        <v>0</v>
      </c>
      <c r="BZ191" s="70">
        <f t="shared" si="514"/>
        <v>0</v>
      </c>
      <c r="CA191" s="70">
        <f t="shared" si="514"/>
        <v>5285.12</v>
      </c>
      <c r="CB191" s="70">
        <f t="shared" si="514"/>
        <v>344.90000000000003</v>
      </c>
      <c r="CC191" s="70">
        <f t="shared" si="514"/>
        <v>5813.630000000001</v>
      </c>
      <c r="CD191" s="70">
        <f t="shared" si="514"/>
        <v>396.64</v>
      </c>
      <c r="CE191" s="70">
        <f t="shared" si="514"/>
        <v>485</v>
      </c>
      <c r="CF191" s="70">
        <f t="shared" si="514"/>
        <v>33</v>
      </c>
      <c r="CG191" s="70">
        <f t="shared" si="514"/>
        <v>1321.28</v>
      </c>
      <c r="CH191" s="96">
        <f t="shared" si="514"/>
        <v>86.23</v>
      </c>
      <c r="CI191" s="70">
        <f t="shared" si="514"/>
        <v>0</v>
      </c>
      <c r="CJ191" s="70">
        <f t="shared" si="514"/>
        <v>0</v>
      </c>
      <c r="CK191" s="70">
        <f t="shared" si="514"/>
        <v>1440</v>
      </c>
      <c r="CL191" s="70">
        <f t="shared" si="514"/>
        <v>95</v>
      </c>
      <c r="CM191" s="70">
        <f t="shared" si="514"/>
        <v>55</v>
      </c>
      <c r="CN191" s="70">
        <f t="shared" si="514"/>
        <v>0</v>
      </c>
      <c r="CO191" s="70">
        <f t="shared" si="514"/>
        <v>5947.1600000000008</v>
      </c>
      <c r="CP191" s="70">
        <f t="shared" ref="CP191:FA191" si="515">+CP188+CP189+CP190</f>
        <v>460</v>
      </c>
      <c r="CQ191" s="70">
        <f t="shared" si="515"/>
        <v>5760</v>
      </c>
      <c r="CR191" s="70">
        <f t="shared" si="515"/>
        <v>380</v>
      </c>
      <c r="CS191" s="70">
        <f t="shared" si="515"/>
        <v>5600</v>
      </c>
      <c r="CT191" s="70">
        <f t="shared" si="515"/>
        <v>380</v>
      </c>
      <c r="CU191" s="70">
        <f t="shared" si="515"/>
        <v>5600</v>
      </c>
      <c r="CV191" s="70">
        <f t="shared" si="515"/>
        <v>408.42</v>
      </c>
      <c r="CW191" s="70">
        <f t="shared" si="515"/>
        <v>1435</v>
      </c>
      <c r="CX191" s="70">
        <f t="shared" si="515"/>
        <v>120</v>
      </c>
      <c r="CY191" s="70">
        <f t="shared" si="515"/>
        <v>0</v>
      </c>
      <c r="CZ191" s="70">
        <f t="shared" si="515"/>
        <v>0</v>
      </c>
      <c r="DA191" s="70">
        <f t="shared" si="515"/>
        <v>3415</v>
      </c>
      <c r="DB191" s="70">
        <f t="shared" si="515"/>
        <v>248</v>
      </c>
      <c r="DC191" s="70">
        <f t="shared" si="515"/>
        <v>3419.64</v>
      </c>
      <c r="DD191" s="70">
        <f t="shared" si="515"/>
        <v>243.42</v>
      </c>
      <c r="DE191" s="70">
        <f t="shared" si="515"/>
        <v>-4.6399999999998727</v>
      </c>
      <c r="DF191" s="70">
        <f t="shared" si="515"/>
        <v>4.5800000000000125</v>
      </c>
      <c r="DG191" s="70">
        <f t="shared" si="515"/>
        <v>1400</v>
      </c>
      <c r="DH191" s="70">
        <f t="shared" si="515"/>
        <v>95</v>
      </c>
      <c r="DI191" s="70">
        <f t="shared" si="515"/>
        <v>1404.6399999999999</v>
      </c>
      <c r="DJ191" s="70">
        <f t="shared" si="515"/>
        <v>90.419999999999987</v>
      </c>
      <c r="DK191" s="70">
        <f t="shared" si="515"/>
        <v>72</v>
      </c>
      <c r="DL191" s="70">
        <f t="shared" si="515"/>
        <v>70</v>
      </c>
      <c r="DM191" s="70">
        <f t="shared" si="515"/>
        <v>4891.6399999999994</v>
      </c>
      <c r="DN191" s="70">
        <f t="shared" si="515"/>
        <v>408.41999999999996</v>
      </c>
      <c r="DO191" s="70">
        <f t="shared" si="515"/>
        <v>4731.53</v>
      </c>
      <c r="DP191" s="70">
        <f t="shared" si="515"/>
        <v>402.23</v>
      </c>
      <c r="DQ191" s="70">
        <f t="shared" si="515"/>
        <v>160.11000000000001</v>
      </c>
      <c r="DR191" s="70">
        <f t="shared" si="515"/>
        <v>6.19</v>
      </c>
      <c r="DS191" s="70">
        <f t="shared" si="515"/>
        <v>473.15299999999996</v>
      </c>
      <c r="DT191" s="70">
        <f t="shared" si="515"/>
        <v>40.222999999999999</v>
      </c>
      <c r="DU191" s="70">
        <f t="shared" si="515"/>
        <v>313.04299999999995</v>
      </c>
      <c r="DV191" s="70">
        <f t="shared" si="515"/>
        <v>34.033000000000001</v>
      </c>
      <c r="DW191" s="70">
        <f t="shared" si="515"/>
        <v>72</v>
      </c>
      <c r="DX191" s="70">
        <f t="shared" si="515"/>
        <v>70</v>
      </c>
      <c r="DY191" s="70">
        <f t="shared" si="515"/>
        <v>445.19</v>
      </c>
      <c r="DZ191" s="70">
        <f t="shared" si="515"/>
        <v>78</v>
      </c>
      <c r="EA191" s="70">
        <f t="shared" si="515"/>
        <v>0</v>
      </c>
      <c r="EB191" s="96">
        <f t="shared" si="515"/>
        <v>0</v>
      </c>
      <c r="EC191" s="70">
        <f t="shared" si="515"/>
        <v>5336.83</v>
      </c>
      <c r="ED191" s="70">
        <f t="shared" si="515"/>
        <v>486.41999999999996</v>
      </c>
      <c r="EE191" s="70">
        <f t="shared" si="515"/>
        <v>5002.32</v>
      </c>
      <c r="EF191" s="70">
        <f t="shared" si="515"/>
        <v>474.33</v>
      </c>
      <c r="EG191" s="70">
        <f t="shared" si="515"/>
        <v>269.89</v>
      </c>
      <c r="EH191" s="70" t="e">
        <f t="shared" si="515"/>
        <v>#DIV/0!</v>
      </c>
      <c r="EI191" s="70">
        <f t="shared" si="515"/>
        <v>334.51</v>
      </c>
      <c r="EJ191" s="70">
        <f t="shared" si="515"/>
        <v>12.09</v>
      </c>
      <c r="EK191" s="70">
        <f t="shared" si="515"/>
        <v>454.75</v>
      </c>
      <c r="EL191" s="70">
        <f t="shared" si="515"/>
        <v>43.12</v>
      </c>
      <c r="EM191" s="70">
        <f t="shared" si="515"/>
        <v>120.23999999999997</v>
      </c>
      <c r="EN191" s="70">
        <f t="shared" si="515"/>
        <v>31.029999999999998</v>
      </c>
      <c r="EO191" s="70">
        <f t="shared" si="515"/>
        <v>220</v>
      </c>
      <c r="EP191" s="70">
        <f t="shared" si="515"/>
        <v>70</v>
      </c>
      <c r="EQ191" s="66">
        <f t="shared" si="515"/>
        <v>0</v>
      </c>
      <c r="ER191" s="46">
        <f t="shared" si="515"/>
        <v>0</v>
      </c>
      <c r="ES191" s="46">
        <f t="shared" si="515"/>
        <v>171.26</v>
      </c>
      <c r="ET191" s="46">
        <f t="shared" si="515"/>
        <v>0</v>
      </c>
      <c r="EU191" s="5">
        <f t="shared" si="442"/>
        <v>293.17000000000007</v>
      </c>
      <c r="EV191" s="5">
        <f t="shared" si="442"/>
        <v>23.580000000000041</v>
      </c>
      <c r="EW191" s="46">
        <f t="shared" si="515"/>
        <v>5850</v>
      </c>
      <c r="EX191" s="46">
        <f t="shared" si="515"/>
        <v>580</v>
      </c>
      <c r="EY191" s="46">
        <f t="shared" si="515"/>
        <v>6470</v>
      </c>
      <c r="EZ191" s="46">
        <f t="shared" si="515"/>
        <v>440</v>
      </c>
      <c r="FA191" s="46">
        <f t="shared" si="515"/>
        <v>217</v>
      </c>
      <c r="FB191" s="46">
        <f t="shared" ref="FB191" si="516">+FB188+FB189+FB190</f>
        <v>78</v>
      </c>
    </row>
    <row r="192" spans="1:160" ht="37.5" x14ac:dyDescent="0.25">
      <c r="A192" s="68">
        <v>5</v>
      </c>
      <c r="B192" s="68" t="s">
        <v>415</v>
      </c>
      <c r="C192" s="91" t="s">
        <v>398</v>
      </c>
      <c r="D192" s="67" t="s">
        <v>416</v>
      </c>
      <c r="E192" s="69" t="s">
        <v>417</v>
      </c>
      <c r="F192" s="40">
        <v>3921.0400000000004</v>
      </c>
      <c r="G192" s="40">
        <v>800.00000000000011</v>
      </c>
      <c r="H192" s="40">
        <v>3941.0400000000004</v>
      </c>
      <c r="I192" s="70">
        <v>800.00000000000011</v>
      </c>
      <c r="J192" s="71">
        <v>4200</v>
      </c>
      <c r="K192" s="71">
        <v>5</v>
      </c>
      <c r="L192" s="71">
        <v>0</v>
      </c>
      <c r="M192" s="71">
        <f>+L192+K192+J192</f>
        <v>4205</v>
      </c>
      <c r="N192" s="71">
        <v>0</v>
      </c>
      <c r="O192" s="71">
        <v>0</v>
      </c>
      <c r="P192" s="71">
        <v>0</v>
      </c>
      <c r="Q192" s="71">
        <f>+P192+O192+N192</f>
        <v>0</v>
      </c>
      <c r="R192" s="71">
        <f>+Q192+M192</f>
        <v>4205</v>
      </c>
      <c r="S192" s="71">
        <v>800</v>
      </c>
      <c r="T192" s="92"/>
      <c r="U192" s="92"/>
      <c r="V192" s="70">
        <f t="shared" ref="V192:V194" si="517">ROUND(H192*1.0583,2)</f>
        <v>4170.8</v>
      </c>
      <c r="W192" s="70">
        <f t="shared" ref="W192:W194" si="518">ROUND(I192*1.0327,2)</f>
        <v>826.16</v>
      </c>
      <c r="X192" s="70">
        <f t="shared" si="352"/>
        <v>34.199999999999818</v>
      </c>
      <c r="Y192" s="70">
        <f t="shared" si="352"/>
        <v>-26.159999999999968</v>
      </c>
      <c r="Z192" s="70">
        <v>4170.8</v>
      </c>
      <c r="AA192" s="70"/>
      <c r="AB192" s="70">
        <f t="shared" si="360"/>
        <v>4170.8</v>
      </c>
      <c r="AC192" s="43">
        <f t="shared" si="361"/>
        <v>0</v>
      </c>
      <c r="AD192" s="70">
        <f t="shared" ref="AD192:AE194" si="519">IF(X192&gt;0,V192,R192)</f>
        <v>4170.8</v>
      </c>
      <c r="AE192" s="70">
        <f t="shared" si="519"/>
        <v>800</v>
      </c>
      <c r="AF192" s="70">
        <f t="shared" si="373"/>
        <v>721.76</v>
      </c>
      <c r="AG192" s="43">
        <f t="shared" si="353"/>
        <v>1043</v>
      </c>
      <c r="AH192" s="43">
        <f t="shared" si="353"/>
        <v>200</v>
      </c>
      <c r="AI192" s="93">
        <f t="shared" si="354"/>
        <v>348</v>
      </c>
      <c r="AJ192" s="43">
        <f t="shared" si="354"/>
        <v>67</v>
      </c>
      <c r="AK192" s="43"/>
      <c r="AL192" s="43"/>
      <c r="AM192" s="43">
        <f t="shared" si="374"/>
        <v>1042.7</v>
      </c>
      <c r="AN192" s="43">
        <f t="shared" si="375"/>
        <v>194.8</v>
      </c>
      <c r="AO192" s="43"/>
      <c r="AP192" s="43"/>
      <c r="AQ192" s="43">
        <f t="shared" si="355"/>
        <v>2085.6999999999998</v>
      </c>
      <c r="AR192" s="43">
        <f t="shared" si="355"/>
        <v>394.8</v>
      </c>
      <c r="AS192" s="43"/>
      <c r="AT192" s="43"/>
      <c r="AU192" s="43">
        <f t="shared" si="424"/>
        <v>1042.7</v>
      </c>
      <c r="AV192" s="43">
        <f t="shared" si="424"/>
        <v>200</v>
      </c>
      <c r="AW192" s="43"/>
      <c r="AX192" s="43"/>
      <c r="AY192" s="43">
        <f t="shared" ref="AY192:AZ255" si="520">+AQ192+AS192+AU192+AW192+AI192</f>
        <v>3476.3999999999996</v>
      </c>
      <c r="AZ192" s="43">
        <f t="shared" si="520"/>
        <v>661.8</v>
      </c>
      <c r="BA192" s="43">
        <f t="shared" ref="BA192:BA255" si="521">+AY192+AZ192</f>
        <v>4138.2</v>
      </c>
      <c r="BB192" s="60">
        <v>3411.43</v>
      </c>
      <c r="BC192" s="60">
        <v>616.38</v>
      </c>
      <c r="BD192" s="60">
        <f t="shared" ref="BD192:BE255" si="522">AY192-BB192</f>
        <v>64.9699999999998</v>
      </c>
      <c r="BE192" s="60">
        <f t="shared" si="522"/>
        <v>45.419999999999959</v>
      </c>
      <c r="BF192" s="60">
        <f t="shared" ref="BF192:BG255" si="523">ROUND(BB192/10*2,2)</f>
        <v>682.29</v>
      </c>
      <c r="BG192" s="60">
        <f t="shared" si="523"/>
        <v>123.28</v>
      </c>
      <c r="BH192" s="43">
        <v>308.66000000000003</v>
      </c>
      <c r="BI192" s="43">
        <v>38.93</v>
      </c>
      <c r="BJ192" s="43"/>
      <c r="BK192" s="43">
        <v>150</v>
      </c>
      <c r="BL192" s="43">
        <f t="shared" si="358"/>
        <v>3785.0599999999995</v>
      </c>
      <c r="BM192" s="43">
        <f t="shared" si="358"/>
        <v>850.7299999999999</v>
      </c>
      <c r="BN192" s="43">
        <f t="shared" si="376"/>
        <v>4635.7899999999991</v>
      </c>
      <c r="BO192" s="43">
        <v>3767.88</v>
      </c>
      <c r="BP192" s="93">
        <v>781.27</v>
      </c>
      <c r="BQ192" s="43">
        <f t="shared" si="377"/>
        <v>17.179999999999382</v>
      </c>
      <c r="BR192" s="43">
        <f t="shared" si="377"/>
        <v>69.459999999999923</v>
      </c>
      <c r="BS192" s="43">
        <f t="shared" si="378"/>
        <v>342.53</v>
      </c>
      <c r="BT192" s="43">
        <f t="shared" si="378"/>
        <v>71.02</v>
      </c>
      <c r="BU192" s="43">
        <v>325.35000000000002</v>
      </c>
      <c r="BV192" s="43">
        <v>0</v>
      </c>
      <c r="BW192" s="43">
        <v>14.65</v>
      </c>
      <c r="BX192" s="43">
        <f>150+74.27</f>
        <v>224.26999999999998</v>
      </c>
      <c r="BY192" s="43"/>
      <c r="BZ192" s="43"/>
      <c r="CA192" s="43">
        <v>4125.0599999999995</v>
      </c>
      <c r="CB192" s="43">
        <v>1075</v>
      </c>
      <c r="CC192" s="92">
        <v>4537.57</v>
      </c>
      <c r="CD192" s="92">
        <v>1236.25</v>
      </c>
      <c r="CE192" s="92">
        <v>378</v>
      </c>
      <c r="CF192" s="92">
        <v>103</v>
      </c>
      <c r="CG192" s="92">
        <f t="shared" si="379"/>
        <v>1031.27</v>
      </c>
      <c r="CH192" s="92">
        <f t="shared" si="379"/>
        <v>268.75</v>
      </c>
      <c r="CI192" s="43"/>
      <c r="CJ192" s="43"/>
      <c r="CK192" s="43">
        <v>1100</v>
      </c>
      <c r="CL192" s="43">
        <v>250</v>
      </c>
      <c r="CM192" s="43"/>
      <c r="CN192" s="43"/>
      <c r="CO192" s="43">
        <v>4500</v>
      </c>
      <c r="CP192" s="43">
        <v>900</v>
      </c>
      <c r="CQ192" s="43">
        <f t="shared" si="380"/>
        <v>4400</v>
      </c>
      <c r="CR192" s="43">
        <f t="shared" si="380"/>
        <v>1000</v>
      </c>
      <c r="CS192" s="43">
        <f t="shared" si="381"/>
        <v>4400</v>
      </c>
      <c r="CT192" s="43">
        <f t="shared" si="381"/>
        <v>900</v>
      </c>
      <c r="CU192" s="43">
        <f t="shared" si="381"/>
        <v>4400</v>
      </c>
      <c r="CV192" s="43">
        <f t="shared" si="381"/>
        <v>900</v>
      </c>
      <c r="CW192" s="43">
        <f t="shared" si="382"/>
        <v>1100</v>
      </c>
      <c r="CX192" s="43">
        <f t="shared" si="382"/>
        <v>225</v>
      </c>
      <c r="CY192" s="43"/>
      <c r="CZ192" s="43">
        <v>75</v>
      </c>
      <c r="DA192" s="43">
        <f t="shared" si="383"/>
        <v>2578</v>
      </c>
      <c r="DB192" s="43">
        <f t="shared" si="383"/>
        <v>653</v>
      </c>
      <c r="DC192" s="43">
        <v>2424.25</v>
      </c>
      <c r="DD192" s="43">
        <v>652.05999999999995</v>
      </c>
      <c r="DE192" s="43">
        <f t="shared" si="384"/>
        <v>153.75</v>
      </c>
      <c r="DF192" s="43">
        <f t="shared" si="384"/>
        <v>0.94000000000005457</v>
      </c>
      <c r="DG192" s="43">
        <f t="shared" ref="DG192:DH194" si="524">ROUND(0.25*(MIN(CU192,EW192)),2)</f>
        <v>1100</v>
      </c>
      <c r="DH192" s="43">
        <f t="shared" si="524"/>
        <v>225</v>
      </c>
      <c r="DI192" s="43">
        <f t="shared" ref="DI192:DI194" si="525">+DG192-DE192</f>
        <v>946.25</v>
      </c>
      <c r="DJ192" s="43">
        <f>+DH192-DF192</f>
        <v>224.05999999999995</v>
      </c>
      <c r="DK192" s="43">
        <v>100</v>
      </c>
      <c r="DL192" s="43">
        <v>20.52</v>
      </c>
      <c r="DM192" s="43">
        <f t="shared" si="385"/>
        <v>3624.25</v>
      </c>
      <c r="DN192" s="43">
        <f t="shared" si="385"/>
        <v>897.57999999999993</v>
      </c>
      <c r="DO192" s="94">
        <v>3605.29</v>
      </c>
      <c r="DP192" s="95">
        <v>885.54</v>
      </c>
      <c r="DQ192" s="60">
        <f t="shared" si="386"/>
        <v>18.96</v>
      </c>
      <c r="DR192" s="60">
        <f t="shared" si="386"/>
        <v>12.04</v>
      </c>
      <c r="DS192" s="60">
        <f t="shared" si="387"/>
        <v>360.529</v>
      </c>
      <c r="DT192" s="60">
        <f t="shared" si="387"/>
        <v>88.554000000000002</v>
      </c>
      <c r="DU192" s="60">
        <f t="shared" si="388"/>
        <v>341.56900000000002</v>
      </c>
      <c r="DV192" s="60">
        <f t="shared" si="388"/>
        <v>76.51400000000001</v>
      </c>
      <c r="DW192" s="60"/>
      <c r="DX192" s="60">
        <v>79.48</v>
      </c>
      <c r="DY192" s="60">
        <f t="shared" si="389"/>
        <v>341.57</v>
      </c>
      <c r="DZ192" s="60">
        <f t="shared" si="389"/>
        <v>155.99</v>
      </c>
      <c r="EA192" s="60">
        <v>75</v>
      </c>
      <c r="EB192" s="60"/>
      <c r="EC192" s="43">
        <f t="shared" si="390"/>
        <v>4040.82</v>
      </c>
      <c r="ED192" s="43">
        <f t="shared" si="390"/>
        <v>1053.57</v>
      </c>
      <c r="EE192" s="43">
        <v>3989.27</v>
      </c>
      <c r="EF192" s="43">
        <v>984.41</v>
      </c>
      <c r="EG192" s="43">
        <f t="shared" si="423"/>
        <v>98.72</v>
      </c>
      <c r="EH192" s="43">
        <f t="shared" si="423"/>
        <v>93.44</v>
      </c>
      <c r="EI192" s="43">
        <f t="shared" si="391"/>
        <v>51.55</v>
      </c>
      <c r="EJ192" s="43">
        <f t="shared" si="391"/>
        <v>69.16</v>
      </c>
      <c r="EK192" s="43">
        <f t="shared" si="392"/>
        <v>362.66</v>
      </c>
      <c r="EL192" s="43">
        <f t="shared" si="392"/>
        <v>89.49</v>
      </c>
      <c r="EM192" s="43">
        <f t="shared" si="393"/>
        <v>311.11</v>
      </c>
      <c r="EN192" s="43">
        <f t="shared" si="393"/>
        <v>20.329999999999998</v>
      </c>
      <c r="EO192" s="43">
        <v>350</v>
      </c>
      <c r="EP192" s="43">
        <v>50</v>
      </c>
      <c r="EQ192" s="5"/>
      <c r="ER192" s="5"/>
      <c r="ES192" s="5"/>
      <c r="ET192" s="5"/>
      <c r="EU192" s="5">
        <f t="shared" si="442"/>
        <v>9.1799999999998363</v>
      </c>
      <c r="EV192" s="5">
        <f t="shared" si="442"/>
        <v>-3.5699999999999363</v>
      </c>
      <c r="EW192" s="5">
        <v>4400</v>
      </c>
      <c r="EX192" s="5">
        <v>1100</v>
      </c>
      <c r="EY192" s="5">
        <v>4500</v>
      </c>
      <c r="EZ192" s="5">
        <v>600</v>
      </c>
    </row>
    <row r="193" spans="1:162" ht="18.75" x14ac:dyDescent="0.25">
      <c r="A193" s="37">
        <v>6</v>
      </c>
      <c r="B193" s="37"/>
      <c r="C193" s="91" t="s">
        <v>218</v>
      </c>
      <c r="D193" s="38" t="s">
        <v>418</v>
      </c>
      <c r="E193" s="39"/>
      <c r="F193" s="40">
        <v>2552.2200000000003</v>
      </c>
      <c r="G193" s="40">
        <v>638.61</v>
      </c>
      <c r="H193" s="40">
        <v>2525.8300000000004</v>
      </c>
      <c r="I193" s="40">
        <v>665.00000000000011</v>
      </c>
      <c r="J193" s="41">
        <v>3165</v>
      </c>
      <c r="K193" s="41">
        <v>0</v>
      </c>
      <c r="L193" s="41">
        <v>0</v>
      </c>
      <c r="M193" s="41">
        <f t="shared" ref="M193:M194" si="526">J193+K193+L193</f>
        <v>3165</v>
      </c>
      <c r="N193" s="41">
        <v>0</v>
      </c>
      <c r="O193" s="41">
        <v>0</v>
      </c>
      <c r="P193" s="41">
        <v>0</v>
      </c>
      <c r="Q193" s="41">
        <f t="shared" ref="Q193:Q194" si="527">N193+O193+P193</f>
        <v>0</v>
      </c>
      <c r="R193" s="41">
        <f t="shared" ref="R193:R194" si="528">+Q193+M193</f>
        <v>3165</v>
      </c>
      <c r="S193" s="41">
        <v>850</v>
      </c>
      <c r="T193" s="92"/>
      <c r="U193" s="92"/>
      <c r="V193" s="40">
        <f t="shared" si="517"/>
        <v>2673.09</v>
      </c>
      <c r="W193" s="40">
        <f t="shared" si="518"/>
        <v>686.75</v>
      </c>
      <c r="X193" s="43">
        <f t="shared" ref="X193:Y255" si="529">R193-V193</f>
        <v>491.90999999999985</v>
      </c>
      <c r="Y193" s="43">
        <f t="shared" si="529"/>
        <v>163.25</v>
      </c>
      <c r="Z193" s="43">
        <v>2673.09</v>
      </c>
      <c r="AA193" s="43"/>
      <c r="AB193" s="43">
        <f t="shared" si="360"/>
        <v>2673.09</v>
      </c>
      <c r="AC193" s="43">
        <f t="shared" si="361"/>
        <v>0</v>
      </c>
      <c r="AD193" s="43">
        <f t="shared" si="519"/>
        <v>2673.09</v>
      </c>
      <c r="AE193" s="43">
        <f t="shared" si="519"/>
        <v>686.75</v>
      </c>
      <c r="AF193" s="43">
        <f t="shared" si="373"/>
        <v>766.87</v>
      </c>
      <c r="AG193" s="43">
        <f t="shared" ref="AG193:AH255" si="530">ROUND(AD193/4,0)</f>
        <v>668</v>
      </c>
      <c r="AH193" s="43">
        <f t="shared" si="530"/>
        <v>172</v>
      </c>
      <c r="AI193" s="93">
        <f t="shared" ref="AI193:AJ255" si="531">ROUND(AD193/12,0)</f>
        <v>223</v>
      </c>
      <c r="AJ193" s="43">
        <f t="shared" si="531"/>
        <v>57</v>
      </c>
      <c r="AK193" s="43"/>
      <c r="AL193" s="43"/>
      <c r="AM193" s="43">
        <f t="shared" si="374"/>
        <v>668.27</v>
      </c>
      <c r="AN193" s="43">
        <f t="shared" si="375"/>
        <v>167.22</v>
      </c>
      <c r="AO193" s="43"/>
      <c r="AP193" s="43"/>
      <c r="AQ193" s="43">
        <f t="shared" ref="AQ193:AR255" si="532">+AM193+AK193+AG193+AO193</f>
        <v>1336.27</v>
      </c>
      <c r="AR193" s="43">
        <f t="shared" si="532"/>
        <v>339.22</v>
      </c>
      <c r="AS193" s="43"/>
      <c r="AT193" s="43"/>
      <c r="AU193" s="43">
        <f t="shared" si="424"/>
        <v>668.27</v>
      </c>
      <c r="AV193" s="43">
        <f t="shared" si="424"/>
        <v>171.69</v>
      </c>
      <c r="AW193" s="43"/>
      <c r="AX193" s="43"/>
      <c r="AY193" s="43">
        <f t="shared" si="520"/>
        <v>2227.54</v>
      </c>
      <c r="AZ193" s="43">
        <f t="shared" si="520"/>
        <v>567.91000000000008</v>
      </c>
      <c r="BA193" s="43">
        <f t="shared" si="521"/>
        <v>2795.45</v>
      </c>
      <c r="BB193" s="60">
        <v>2120.41</v>
      </c>
      <c r="BC193" s="60">
        <v>591.46</v>
      </c>
      <c r="BD193" s="60">
        <f t="shared" si="522"/>
        <v>107.13000000000011</v>
      </c>
      <c r="BE193" s="60">
        <f t="shared" si="522"/>
        <v>-23.549999999999955</v>
      </c>
      <c r="BF193" s="60">
        <f t="shared" si="523"/>
        <v>424.08</v>
      </c>
      <c r="BG193" s="60">
        <f t="shared" si="523"/>
        <v>118.29</v>
      </c>
      <c r="BH193" s="43">
        <f>158.48+8.65</f>
        <v>167.13</v>
      </c>
      <c r="BI193" s="43">
        <v>60</v>
      </c>
      <c r="BJ193" s="43"/>
      <c r="BK193" s="43"/>
      <c r="BL193" s="43">
        <f t="shared" si="358"/>
        <v>2394.67</v>
      </c>
      <c r="BM193" s="43">
        <f t="shared" si="358"/>
        <v>627.91000000000008</v>
      </c>
      <c r="BN193" s="43">
        <f t="shared" si="376"/>
        <v>3022.58</v>
      </c>
      <c r="BO193" s="43">
        <v>2341.09</v>
      </c>
      <c r="BP193" s="93">
        <v>629.4</v>
      </c>
      <c r="BQ193" s="43">
        <f t="shared" si="377"/>
        <v>53.579999999999927</v>
      </c>
      <c r="BR193" s="43">
        <f t="shared" si="377"/>
        <v>-1.4899999999998954</v>
      </c>
      <c r="BS193" s="43">
        <f t="shared" si="378"/>
        <v>212.83</v>
      </c>
      <c r="BT193" s="43">
        <f t="shared" si="378"/>
        <v>57.22</v>
      </c>
      <c r="BU193" s="43">
        <f>BS193-BQ193+21.47+8.65</f>
        <v>189.37000000000009</v>
      </c>
      <c r="BV193" s="43">
        <f>ROUND(BT193-BR193,2)</f>
        <v>58.71</v>
      </c>
      <c r="BW193" s="43">
        <v>114.4</v>
      </c>
      <c r="BX193" s="43"/>
      <c r="BY193" s="43"/>
      <c r="BZ193" s="43"/>
      <c r="CA193" s="43">
        <v>2698.44</v>
      </c>
      <c r="CB193" s="43">
        <v>686.62000000000012</v>
      </c>
      <c r="CC193" s="92">
        <v>2968.28</v>
      </c>
      <c r="CD193" s="92">
        <v>789.61</v>
      </c>
      <c r="CE193" s="92">
        <v>247</v>
      </c>
      <c r="CF193" s="92">
        <v>66</v>
      </c>
      <c r="CG193" s="92">
        <f t="shared" si="379"/>
        <v>674.61</v>
      </c>
      <c r="CH193" s="92">
        <f t="shared" si="379"/>
        <v>171.66</v>
      </c>
      <c r="CI193" s="43"/>
      <c r="CJ193" s="43"/>
      <c r="CK193" s="43">
        <v>737</v>
      </c>
      <c r="CL193" s="43">
        <v>50</v>
      </c>
      <c r="CM193" s="43"/>
      <c r="CN193" s="43"/>
      <c r="CO193" s="43">
        <v>3321.28</v>
      </c>
      <c r="CP193" s="43">
        <v>841.89</v>
      </c>
      <c r="CQ193" s="43">
        <f t="shared" si="380"/>
        <v>2948</v>
      </c>
      <c r="CR193" s="43">
        <f t="shared" si="380"/>
        <v>200</v>
      </c>
      <c r="CS193" s="43">
        <f t="shared" si="381"/>
        <v>2948</v>
      </c>
      <c r="CT193" s="43">
        <f t="shared" si="381"/>
        <v>200</v>
      </c>
      <c r="CU193" s="43">
        <v>3005</v>
      </c>
      <c r="CV193" s="43">
        <v>460</v>
      </c>
      <c r="CW193" s="43">
        <f t="shared" si="382"/>
        <v>751.25</v>
      </c>
      <c r="CX193" s="43">
        <f>ROUND(CV193*25%,2)-15</f>
        <v>100</v>
      </c>
      <c r="CY193" s="43"/>
      <c r="CZ193" s="43"/>
      <c r="DA193" s="43">
        <f t="shared" si="383"/>
        <v>1735.25</v>
      </c>
      <c r="DB193" s="43">
        <f t="shared" si="383"/>
        <v>216</v>
      </c>
      <c r="DC193" s="43">
        <v>1631.66</v>
      </c>
      <c r="DD193" s="43">
        <v>145.27000000000001</v>
      </c>
      <c r="DE193" s="43">
        <f t="shared" si="384"/>
        <v>103.58999999999992</v>
      </c>
      <c r="DF193" s="43">
        <f t="shared" si="384"/>
        <v>70.72999999999999</v>
      </c>
      <c r="DG193" s="43">
        <f t="shared" si="524"/>
        <v>713.75</v>
      </c>
      <c r="DH193" s="43">
        <f t="shared" si="524"/>
        <v>115</v>
      </c>
      <c r="DI193" s="72">
        <v>647.66</v>
      </c>
      <c r="DJ193" s="72">
        <f>+DH193-DF193</f>
        <v>44.27000000000001</v>
      </c>
      <c r="DK193" s="43"/>
      <c r="DL193" s="43">
        <v>150</v>
      </c>
      <c r="DM193" s="43">
        <f t="shared" si="385"/>
        <v>2382.91</v>
      </c>
      <c r="DN193" s="43">
        <f t="shared" si="385"/>
        <v>410.27</v>
      </c>
      <c r="DO193" s="94">
        <v>2359.3000000000002</v>
      </c>
      <c r="DP193" s="103">
        <v>294.12</v>
      </c>
      <c r="DQ193" s="60">
        <f t="shared" si="386"/>
        <v>23.61</v>
      </c>
      <c r="DR193" s="60">
        <f t="shared" si="386"/>
        <v>116.15</v>
      </c>
      <c r="DS193" s="60">
        <f t="shared" si="387"/>
        <v>235.93</v>
      </c>
      <c r="DT193" s="60">
        <f t="shared" si="387"/>
        <v>29.411999999999999</v>
      </c>
      <c r="DU193" s="60">
        <f t="shared" si="388"/>
        <v>212.32</v>
      </c>
      <c r="DV193" s="60">
        <f t="shared" si="388"/>
        <v>-86.738</v>
      </c>
      <c r="DW193" s="60"/>
      <c r="DX193" s="60"/>
      <c r="DY193" s="60">
        <v>250</v>
      </c>
      <c r="DZ193" s="60">
        <v>0</v>
      </c>
      <c r="EA193" s="60"/>
      <c r="EB193" s="60"/>
      <c r="EC193" s="43">
        <f t="shared" si="390"/>
        <v>2632.91</v>
      </c>
      <c r="ED193" s="43">
        <f t="shared" si="390"/>
        <v>410.27</v>
      </c>
      <c r="EE193" s="43">
        <v>2591.63</v>
      </c>
      <c r="EF193" s="43">
        <v>401.88</v>
      </c>
      <c r="EG193" s="43">
        <f t="shared" si="423"/>
        <v>98.43</v>
      </c>
      <c r="EH193" s="43">
        <f t="shared" si="423"/>
        <v>97.96</v>
      </c>
      <c r="EI193" s="43">
        <f t="shared" si="391"/>
        <v>41.28</v>
      </c>
      <c r="EJ193" s="43">
        <f t="shared" si="391"/>
        <v>8.39</v>
      </c>
      <c r="EK193" s="43">
        <f t="shared" si="392"/>
        <v>235.6</v>
      </c>
      <c r="EL193" s="43">
        <f t="shared" si="392"/>
        <v>36.53</v>
      </c>
      <c r="EM193" s="43">
        <f t="shared" si="393"/>
        <v>194.32</v>
      </c>
      <c r="EN193" s="43">
        <f t="shared" si="393"/>
        <v>28.14</v>
      </c>
      <c r="EO193" s="43">
        <v>210</v>
      </c>
      <c r="EP193" s="43">
        <v>40</v>
      </c>
      <c r="EQ193" s="5"/>
      <c r="ER193" s="5"/>
      <c r="ES193" s="45">
        <v>509.58999999999992</v>
      </c>
      <c r="ET193" s="5"/>
      <c r="EU193" s="5">
        <f t="shared" si="442"/>
        <v>12.090000000000146</v>
      </c>
      <c r="EV193" s="5">
        <f t="shared" si="442"/>
        <v>9.7300000000000182</v>
      </c>
      <c r="EW193" s="45">
        <v>2855</v>
      </c>
      <c r="EX193" s="5">
        <v>460</v>
      </c>
      <c r="EY193" s="5">
        <v>3456</v>
      </c>
      <c r="EZ193" s="5">
        <v>550</v>
      </c>
    </row>
    <row r="194" spans="1:162" ht="18.75" x14ac:dyDescent="0.25">
      <c r="A194" s="37">
        <v>7</v>
      </c>
      <c r="B194" s="37"/>
      <c r="C194" s="91" t="s">
        <v>218</v>
      </c>
      <c r="D194" s="38" t="s">
        <v>419</v>
      </c>
      <c r="E194" s="39"/>
      <c r="F194" s="40">
        <v>444.91999999999996</v>
      </c>
      <c r="G194" s="40">
        <v>0</v>
      </c>
      <c r="H194" s="40">
        <v>444.91999999999996</v>
      </c>
      <c r="I194" s="40">
        <v>0</v>
      </c>
      <c r="J194" s="41">
        <v>590.29999999999995</v>
      </c>
      <c r="K194" s="41">
        <v>0</v>
      </c>
      <c r="L194" s="41">
        <v>0</v>
      </c>
      <c r="M194" s="41">
        <f t="shared" si="526"/>
        <v>590.29999999999995</v>
      </c>
      <c r="N194" s="41">
        <v>0</v>
      </c>
      <c r="O194" s="41">
        <v>0</v>
      </c>
      <c r="P194" s="41">
        <v>0</v>
      </c>
      <c r="Q194" s="41">
        <f t="shared" si="527"/>
        <v>0</v>
      </c>
      <c r="R194" s="41">
        <f t="shared" si="528"/>
        <v>590.29999999999995</v>
      </c>
      <c r="S194" s="41">
        <v>0</v>
      </c>
      <c r="T194" s="92"/>
      <c r="U194" s="92"/>
      <c r="V194" s="40">
        <f t="shared" si="517"/>
        <v>470.86</v>
      </c>
      <c r="W194" s="40">
        <f t="shared" si="518"/>
        <v>0</v>
      </c>
      <c r="X194" s="43">
        <f t="shared" si="529"/>
        <v>119.43999999999994</v>
      </c>
      <c r="Y194" s="43">
        <f t="shared" si="529"/>
        <v>0</v>
      </c>
      <c r="Z194" s="43">
        <v>470.86</v>
      </c>
      <c r="AA194" s="43"/>
      <c r="AB194" s="43">
        <f t="shared" si="360"/>
        <v>470.86</v>
      </c>
      <c r="AC194" s="43">
        <f t="shared" si="361"/>
        <v>0</v>
      </c>
      <c r="AD194" s="43">
        <f t="shared" si="519"/>
        <v>470.86</v>
      </c>
      <c r="AE194" s="43">
        <f t="shared" si="519"/>
        <v>0</v>
      </c>
      <c r="AF194" s="43">
        <f t="shared" si="373"/>
        <v>0</v>
      </c>
      <c r="AG194" s="43">
        <f t="shared" si="530"/>
        <v>118</v>
      </c>
      <c r="AH194" s="43">
        <f t="shared" si="530"/>
        <v>0</v>
      </c>
      <c r="AI194" s="93">
        <f t="shared" si="531"/>
        <v>39</v>
      </c>
      <c r="AJ194" s="43">
        <f t="shared" si="531"/>
        <v>0</v>
      </c>
      <c r="AK194" s="43"/>
      <c r="AL194" s="43"/>
      <c r="AM194" s="43">
        <f t="shared" si="374"/>
        <v>117.72</v>
      </c>
      <c r="AN194" s="43">
        <f t="shared" si="375"/>
        <v>0</v>
      </c>
      <c r="AO194" s="43"/>
      <c r="AP194" s="43"/>
      <c r="AQ194" s="43">
        <f t="shared" si="532"/>
        <v>235.72</v>
      </c>
      <c r="AR194" s="43">
        <f t="shared" si="532"/>
        <v>0</v>
      </c>
      <c r="AS194" s="43"/>
      <c r="AT194" s="43"/>
      <c r="AU194" s="43">
        <f t="shared" si="424"/>
        <v>117.72</v>
      </c>
      <c r="AV194" s="43">
        <f t="shared" si="424"/>
        <v>0</v>
      </c>
      <c r="AW194" s="43"/>
      <c r="AX194" s="43"/>
      <c r="AY194" s="43">
        <f t="shared" si="520"/>
        <v>392.44</v>
      </c>
      <c r="AZ194" s="43">
        <f t="shared" si="520"/>
        <v>0</v>
      </c>
      <c r="BA194" s="43">
        <f t="shared" si="521"/>
        <v>392.44</v>
      </c>
      <c r="BB194" s="60">
        <v>392.44</v>
      </c>
      <c r="BC194" s="60"/>
      <c r="BD194" s="60">
        <f t="shared" si="522"/>
        <v>0</v>
      </c>
      <c r="BE194" s="60">
        <f t="shared" si="522"/>
        <v>0</v>
      </c>
      <c r="BF194" s="60">
        <f t="shared" si="523"/>
        <v>78.489999999999995</v>
      </c>
      <c r="BG194" s="60">
        <f t="shared" si="523"/>
        <v>0</v>
      </c>
      <c r="BH194" s="43">
        <f>14.21-8.65</f>
        <v>5.5600000000000005</v>
      </c>
      <c r="BI194" s="43">
        <v>0</v>
      </c>
      <c r="BJ194" s="43"/>
      <c r="BK194" s="43"/>
      <c r="BL194" s="43">
        <f t="shared" si="358"/>
        <v>398</v>
      </c>
      <c r="BM194" s="43">
        <f t="shared" si="358"/>
        <v>0</v>
      </c>
      <c r="BN194" s="43">
        <f t="shared" si="376"/>
        <v>398</v>
      </c>
      <c r="BO194" s="43">
        <v>392.44</v>
      </c>
      <c r="BP194" s="93"/>
      <c r="BQ194" s="43">
        <f t="shared" si="377"/>
        <v>5.5600000000000023</v>
      </c>
      <c r="BR194" s="43">
        <f t="shared" si="377"/>
        <v>0</v>
      </c>
      <c r="BS194" s="43">
        <f t="shared" si="378"/>
        <v>35.68</v>
      </c>
      <c r="BT194" s="43">
        <f t="shared" si="378"/>
        <v>0</v>
      </c>
      <c r="BU194" s="43">
        <f>BS194-BQ194-21.47-8.65</f>
        <v>0</v>
      </c>
      <c r="BV194" s="43">
        <f t="shared" ref="BV194" si="533">ROUND(BT194-BR194,2)</f>
        <v>0</v>
      </c>
      <c r="BW194" s="43"/>
      <c r="BX194" s="43"/>
      <c r="BY194" s="43"/>
      <c r="BZ194" s="43"/>
      <c r="CA194" s="43">
        <v>398</v>
      </c>
      <c r="CB194" s="43">
        <v>0</v>
      </c>
      <c r="CC194" s="92">
        <v>437.8</v>
      </c>
      <c r="CD194" s="92">
        <v>0</v>
      </c>
      <c r="CE194" s="92">
        <v>36</v>
      </c>
      <c r="CF194" s="92">
        <v>0</v>
      </c>
      <c r="CG194" s="92">
        <f t="shared" si="379"/>
        <v>99.5</v>
      </c>
      <c r="CH194" s="92">
        <f t="shared" si="379"/>
        <v>0</v>
      </c>
      <c r="CI194" s="43"/>
      <c r="CJ194" s="43"/>
      <c r="CK194" s="43">
        <v>97</v>
      </c>
      <c r="CL194" s="43"/>
      <c r="CM194" s="43"/>
      <c r="CN194" s="43"/>
      <c r="CO194" s="43"/>
      <c r="CP194" s="43"/>
      <c r="CQ194" s="43">
        <f t="shared" si="380"/>
        <v>388</v>
      </c>
      <c r="CR194" s="43">
        <f t="shared" si="380"/>
        <v>0</v>
      </c>
      <c r="CS194" s="43">
        <f t="shared" si="381"/>
        <v>0</v>
      </c>
      <c r="CT194" s="43">
        <f t="shared" si="381"/>
        <v>0</v>
      </c>
      <c r="CU194" s="43">
        <v>385</v>
      </c>
      <c r="CV194" s="43"/>
      <c r="CW194" s="43">
        <f t="shared" si="382"/>
        <v>96.25</v>
      </c>
      <c r="CX194" s="43">
        <f t="shared" si="382"/>
        <v>0</v>
      </c>
      <c r="CY194" s="43"/>
      <c r="CZ194" s="43"/>
      <c r="DA194" s="43">
        <f t="shared" si="383"/>
        <v>229.25</v>
      </c>
      <c r="DB194" s="43">
        <f t="shared" si="383"/>
        <v>0</v>
      </c>
      <c r="DC194" s="43">
        <v>229.25</v>
      </c>
      <c r="DD194" s="43">
        <v>0</v>
      </c>
      <c r="DE194" s="43">
        <f t="shared" si="384"/>
        <v>0</v>
      </c>
      <c r="DF194" s="43">
        <f t="shared" si="384"/>
        <v>0</v>
      </c>
      <c r="DG194" s="43">
        <f t="shared" si="524"/>
        <v>96.25</v>
      </c>
      <c r="DH194" s="43">
        <f t="shared" si="524"/>
        <v>0</v>
      </c>
      <c r="DI194" s="72">
        <f t="shared" si="525"/>
        <v>96.25</v>
      </c>
      <c r="DJ194" s="72">
        <f>+DH194-DF194</f>
        <v>0</v>
      </c>
      <c r="DK194" s="43"/>
      <c r="DL194" s="43"/>
      <c r="DM194" s="43">
        <f t="shared" si="385"/>
        <v>325.5</v>
      </c>
      <c r="DN194" s="43">
        <f t="shared" si="385"/>
        <v>0</v>
      </c>
      <c r="DO194" s="94">
        <v>325.5</v>
      </c>
      <c r="DP194" s="114">
        <v>0</v>
      </c>
      <c r="DQ194" s="60">
        <f t="shared" si="386"/>
        <v>0</v>
      </c>
      <c r="DR194" s="60">
        <f t="shared" si="386"/>
        <v>0</v>
      </c>
      <c r="DS194" s="60">
        <f t="shared" si="387"/>
        <v>32.549999999999997</v>
      </c>
      <c r="DT194" s="60">
        <f t="shared" si="387"/>
        <v>0</v>
      </c>
      <c r="DU194" s="60">
        <f t="shared" si="388"/>
        <v>32.549999999999997</v>
      </c>
      <c r="DV194" s="60">
        <f t="shared" si="388"/>
        <v>0</v>
      </c>
      <c r="DW194" s="60"/>
      <c r="DX194" s="60"/>
      <c r="DY194" s="60">
        <f t="shared" si="389"/>
        <v>32.549999999999997</v>
      </c>
      <c r="DZ194" s="60">
        <f t="shared" si="389"/>
        <v>0</v>
      </c>
      <c r="EA194" s="60"/>
      <c r="EB194" s="60"/>
      <c r="EC194" s="43">
        <f t="shared" si="390"/>
        <v>358.05</v>
      </c>
      <c r="ED194" s="43">
        <f t="shared" si="390"/>
        <v>0</v>
      </c>
      <c r="EE194" s="43">
        <v>325.5</v>
      </c>
      <c r="EF194" s="43">
        <v>0</v>
      </c>
      <c r="EG194" s="43">
        <f t="shared" si="423"/>
        <v>90.91</v>
      </c>
      <c r="EH194" s="43" t="e">
        <f t="shared" si="423"/>
        <v>#DIV/0!</v>
      </c>
      <c r="EI194" s="43">
        <f t="shared" si="391"/>
        <v>32.549999999999997</v>
      </c>
      <c r="EJ194" s="43">
        <f t="shared" si="391"/>
        <v>0</v>
      </c>
      <c r="EK194" s="43">
        <f t="shared" si="392"/>
        <v>29.59</v>
      </c>
      <c r="EL194" s="43">
        <f t="shared" si="392"/>
        <v>0</v>
      </c>
      <c r="EM194" s="43">
        <f t="shared" si="393"/>
        <v>-2.9599999999999973</v>
      </c>
      <c r="EN194" s="43">
        <f t="shared" si="393"/>
        <v>0</v>
      </c>
      <c r="EO194" s="43">
        <v>26.95</v>
      </c>
      <c r="EP194" s="43">
        <v>0</v>
      </c>
      <c r="EQ194" s="5"/>
      <c r="ER194" s="5"/>
      <c r="ES194" s="5"/>
      <c r="ET194" s="5"/>
      <c r="EU194" s="5">
        <f t="shared" si="442"/>
        <v>0</v>
      </c>
      <c r="EV194" s="5">
        <f t="shared" si="442"/>
        <v>0</v>
      </c>
      <c r="EW194" s="5">
        <v>385</v>
      </c>
      <c r="EY194" s="5">
        <v>443</v>
      </c>
    </row>
    <row r="195" spans="1:162" ht="18.75" x14ac:dyDescent="0.25">
      <c r="A195" s="68"/>
      <c r="B195" s="68" t="s">
        <v>420</v>
      </c>
      <c r="C195" s="91" t="s">
        <v>218</v>
      </c>
      <c r="D195" s="67" t="s">
        <v>418</v>
      </c>
      <c r="E195" s="69" t="s">
        <v>421</v>
      </c>
      <c r="F195" s="70">
        <v>2997.1400000000003</v>
      </c>
      <c r="G195" s="70">
        <v>638.61</v>
      </c>
      <c r="H195" s="70">
        <v>2970.7500000000005</v>
      </c>
      <c r="I195" s="70">
        <v>665.00000000000011</v>
      </c>
      <c r="J195" s="71">
        <f t="shared" ref="J195:AA195" si="534">+J193+J194</f>
        <v>3755.3</v>
      </c>
      <c r="K195" s="71">
        <f t="shared" si="534"/>
        <v>0</v>
      </c>
      <c r="L195" s="71">
        <f t="shared" si="534"/>
        <v>0</v>
      </c>
      <c r="M195" s="71">
        <f t="shared" si="534"/>
        <v>3755.3</v>
      </c>
      <c r="N195" s="71">
        <f t="shared" si="534"/>
        <v>0</v>
      </c>
      <c r="O195" s="71">
        <f t="shared" si="534"/>
        <v>0</v>
      </c>
      <c r="P195" s="71">
        <f t="shared" si="534"/>
        <v>0</v>
      </c>
      <c r="Q195" s="71">
        <f t="shared" si="534"/>
        <v>0</v>
      </c>
      <c r="R195" s="71">
        <f t="shared" si="534"/>
        <v>3755.3</v>
      </c>
      <c r="S195" s="71">
        <f t="shared" si="534"/>
        <v>850</v>
      </c>
      <c r="T195" s="71">
        <f t="shared" si="534"/>
        <v>0</v>
      </c>
      <c r="U195" s="71">
        <f t="shared" si="534"/>
        <v>0</v>
      </c>
      <c r="V195" s="71">
        <f t="shared" si="534"/>
        <v>3143.9500000000003</v>
      </c>
      <c r="W195" s="71">
        <f t="shared" si="534"/>
        <v>686.75</v>
      </c>
      <c r="X195" s="71">
        <f t="shared" si="534"/>
        <v>611.3499999999998</v>
      </c>
      <c r="Y195" s="71">
        <f t="shared" si="534"/>
        <v>163.25</v>
      </c>
      <c r="Z195" s="71">
        <f t="shared" si="534"/>
        <v>3143.9500000000003</v>
      </c>
      <c r="AA195" s="71">
        <f t="shared" si="534"/>
        <v>0</v>
      </c>
      <c r="AB195" s="70">
        <f t="shared" si="360"/>
        <v>3143.9500000000003</v>
      </c>
      <c r="AC195" s="43">
        <f t="shared" si="361"/>
        <v>0</v>
      </c>
      <c r="AD195" s="70">
        <f t="shared" ref="AD195:CO195" si="535">+AD193+AD194</f>
        <v>3143.9500000000003</v>
      </c>
      <c r="AE195" s="70">
        <f t="shared" si="535"/>
        <v>686.75</v>
      </c>
      <c r="AF195" s="70">
        <f t="shared" si="535"/>
        <v>766.87</v>
      </c>
      <c r="AG195" s="70">
        <f t="shared" si="535"/>
        <v>786</v>
      </c>
      <c r="AH195" s="70">
        <f t="shared" si="535"/>
        <v>172</v>
      </c>
      <c r="AI195" s="96">
        <f t="shared" si="535"/>
        <v>262</v>
      </c>
      <c r="AJ195" s="70">
        <f t="shared" si="535"/>
        <v>57</v>
      </c>
      <c r="AK195" s="70">
        <f t="shared" si="535"/>
        <v>0</v>
      </c>
      <c r="AL195" s="70">
        <f t="shared" si="535"/>
        <v>0</v>
      </c>
      <c r="AM195" s="70">
        <f t="shared" si="535"/>
        <v>785.99</v>
      </c>
      <c r="AN195" s="70">
        <f t="shared" si="535"/>
        <v>167.22</v>
      </c>
      <c r="AO195" s="70">
        <f t="shared" si="535"/>
        <v>0</v>
      </c>
      <c r="AP195" s="70">
        <f t="shared" si="535"/>
        <v>0</v>
      </c>
      <c r="AQ195" s="70">
        <f t="shared" si="535"/>
        <v>1571.99</v>
      </c>
      <c r="AR195" s="70">
        <f t="shared" si="535"/>
        <v>339.22</v>
      </c>
      <c r="AS195" s="70">
        <f t="shared" si="535"/>
        <v>0</v>
      </c>
      <c r="AT195" s="70">
        <f t="shared" si="535"/>
        <v>0</v>
      </c>
      <c r="AU195" s="70">
        <f t="shared" si="535"/>
        <v>785.99</v>
      </c>
      <c r="AV195" s="70">
        <f t="shared" si="535"/>
        <v>171.69</v>
      </c>
      <c r="AW195" s="70">
        <f t="shared" si="535"/>
        <v>0</v>
      </c>
      <c r="AX195" s="70">
        <f t="shared" si="535"/>
        <v>0</v>
      </c>
      <c r="AY195" s="70">
        <f t="shared" si="535"/>
        <v>2619.98</v>
      </c>
      <c r="AZ195" s="70">
        <f t="shared" si="535"/>
        <v>567.91000000000008</v>
      </c>
      <c r="BA195" s="70">
        <f t="shared" si="535"/>
        <v>3187.89</v>
      </c>
      <c r="BB195" s="70">
        <f t="shared" si="535"/>
        <v>2512.85</v>
      </c>
      <c r="BC195" s="70">
        <f t="shared" si="535"/>
        <v>591.46</v>
      </c>
      <c r="BD195" s="70">
        <f t="shared" si="535"/>
        <v>107.13000000000011</v>
      </c>
      <c r="BE195" s="70">
        <f t="shared" si="535"/>
        <v>-23.549999999999955</v>
      </c>
      <c r="BF195" s="70">
        <f t="shared" si="535"/>
        <v>502.57</v>
      </c>
      <c r="BG195" s="96">
        <f t="shared" si="535"/>
        <v>118.29</v>
      </c>
      <c r="BH195" s="96">
        <f t="shared" si="535"/>
        <v>172.69</v>
      </c>
      <c r="BI195" s="96">
        <f t="shared" si="535"/>
        <v>60</v>
      </c>
      <c r="BJ195" s="96">
        <f t="shared" si="535"/>
        <v>0</v>
      </c>
      <c r="BK195" s="96">
        <f t="shared" si="535"/>
        <v>0</v>
      </c>
      <c r="BL195" s="96">
        <f t="shared" si="535"/>
        <v>2792.67</v>
      </c>
      <c r="BM195" s="96">
        <f t="shared" si="535"/>
        <v>627.91000000000008</v>
      </c>
      <c r="BN195" s="96">
        <f t="shared" si="535"/>
        <v>3420.58</v>
      </c>
      <c r="BO195" s="96">
        <f t="shared" si="535"/>
        <v>2733.53</v>
      </c>
      <c r="BP195" s="96">
        <f t="shared" si="535"/>
        <v>629.4</v>
      </c>
      <c r="BQ195" s="70">
        <f t="shared" si="535"/>
        <v>59.13999999999993</v>
      </c>
      <c r="BR195" s="70">
        <f t="shared" si="535"/>
        <v>-1.4899999999998954</v>
      </c>
      <c r="BS195" s="70">
        <f t="shared" si="535"/>
        <v>248.51000000000002</v>
      </c>
      <c r="BT195" s="70">
        <f t="shared" si="535"/>
        <v>57.22</v>
      </c>
      <c r="BU195" s="70">
        <f t="shared" si="535"/>
        <v>189.37000000000009</v>
      </c>
      <c r="BV195" s="70">
        <f t="shared" si="535"/>
        <v>58.71</v>
      </c>
      <c r="BW195" s="70">
        <f t="shared" si="535"/>
        <v>114.4</v>
      </c>
      <c r="BX195" s="70">
        <f t="shared" si="535"/>
        <v>0</v>
      </c>
      <c r="BY195" s="70">
        <f t="shared" si="535"/>
        <v>0</v>
      </c>
      <c r="BZ195" s="70">
        <f t="shared" si="535"/>
        <v>0</v>
      </c>
      <c r="CA195" s="70">
        <f t="shared" si="535"/>
        <v>3096.44</v>
      </c>
      <c r="CB195" s="70">
        <f t="shared" si="535"/>
        <v>686.62000000000012</v>
      </c>
      <c r="CC195" s="70">
        <f t="shared" si="535"/>
        <v>3406.0800000000004</v>
      </c>
      <c r="CD195" s="70">
        <f t="shared" si="535"/>
        <v>789.61</v>
      </c>
      <c r="CE195" s="70">
        <f t="shared" si="535"/>
        <v>283</v>
      </c>
      <c r="CF195" s="70">
        <f t="shared" si="535"/>
        <v>66</v>
      </c>
      <c r="CG195" s="70">
        <f t="shared" si="535"/>
        <v>774.11</v>
      </c>
      <c r="CH195" s="96">
        <f t="shared" si="535"/>
        <v>171.66</v>
      </c>
      <c r="CI195" s="70">
        <f t="shared" si="535"/>
        <v>0</v>
      </c>
      <c r="CJ195" s="70">
        <f t="shared" si="535"/>
        <v>0</v>
      </c>
      <c r="CK195" s="70">
        <f t="shared" si="535"/>
        <v>834</v>
      </c>
      <c r="CL195" s="70">
        <f t="shared" si="535"/>
        <v>50</v>
      </c>
      <c r="CM195" s="70">
        <f t="shared" si="535"/>
        <v>0</v>
      </c>
      <c r="CN195" s="70">
        <f t="shared" si="535"/>
        <v>0</v>
      </c>
      <c r="CO195" s="70">
        <f t="shared" si="535"/>
        <v>3321.28</v>
      </c>
      <c r="CP195" s="70">
        <f t="shared" ref="CP195:FA195" si="536">+CP193+CP194</f>
        <v>841.89</v>
      </c>
      <c r="CQ195" s="70">
        <f t="shared" si="536"/>
        <v>3336</v>
      </c>
      <c r="CR195" s="70">
        <f t="shared" si="536"/>
        <v>200</v>
      </c>
      <c r="CS195" s="70">
        <f t="shared" si="536"/>
        <v>2948</v>
      </c>
      <c r="CT195" s="70">
        <f t="shared" si="536"/>
        <v>200</v>
      </c>
      <c r="CU195" s="70">
        <f t="shared" si="536"/>
        <v>3390</v>
      </c>
      <c r="CV195" s="70">
        <f t="shared" si="536"/>
        <v>460</v>
      </c>
      <c r="CW195" s="70">
        <f t="shared" si="536"/>
        <v>847.5</v>
      </c>
      <c r="CX195" s="70">
        <f t="shared" si="536"/>
        <v>100</v>
      </c>
      <c r="CY195" s="70">
        <f t="shared" si="536"/>
        <v>0</v>
      </c>
      <c r="CZ195" s="70">
        <f t="shared" si="536"/>
        <v>0</v>
      </c>
      <c r="DA195" s="70">
        <f t="shared" si="536"/>
        <v>1964.5</v>
      </c>
      <c r="DB195" s="70">
        <f t="shared" si="536"/>
        <v>216</v>
      </c>
      <c r="DC195" s="70">
        <f t="shared" si="536"/>
        <v>1860.91</v>
      </c>
      <c r="DD195" s="70">
        <f t="shared" si="536"/>
        <v>145.27000000000001</v>
      </c>
      <c r="DE195" s="70">
        <f t="shared" si="536"/>
        <v>103.58999999999992</v>
      </c>
      <c r="DF195" s="70">
        <f t="shared" si="536"/>
        <v>70.72999999999999</v>
      </c>
      <c r="DG195" s="70">
        <f t="shared" si="536"/>
        <v>810</v>
      </c>
      <c r="DH195" s="70">
        <f t="shared" si="536"/>
        <v>115</v>
      </c>
      <c r="DI195" s="70">
        <f t="shared" si="536"/>
        <v>743.91</v>
      </c>
      <c r="DJ195" s="70">
        <f t="shared" si="536"/>
        <v>44.27000000000001</v>
      </c>
      <c r="DK195" s="70">
        <f t="shared" si="536"/>
        <v>0</v>
      </c>
      <c r="DL195" s="70">
        <f t="shared" si="536"/>
        <v>150</v>
      </c>
      <c r="DM195" s="70">
        <f t="shared" si="536"/>
        <v>2708.41</v>
      </c>
      <c r="DN195" s="70">
        <f t="shared" si="536"/>
        <v>410.27</v>
      </c>
      <c r="DO195" s="70">
        <f t="shared" si="536"/>
        <v>2684.8</v>
      </c>
      <c r="DP195" s="70">
        <f t="shared" si="536"/>
        <v>294.12</v>
      </c>
      <c r="DQ195" s="70">
        <f t="shared" si="536"/>
        <v>23.61</v>
      </c>
      <c r="DR195" s="70">
        <f t="shared" si="536"/>
        <v>116.15</v>
      </c>
      <c r="DS195" s="70">
        <f t="shared" si="536"/>
        <v>268.48</v>
      </c>
      <c r="DT195" s="70">
        <f t="shared" si="536"/>
        <v>29.411999999999999</v>
      </c>
      <c r="DU195" s="70">
        <f t="shared" si="536"/>
        <v>244.87</v>
      </c>
      <c r="DV195" s="70">
        <f t="shared" si="536"/>
        <v>-86.738</v>
      </c>
      <c r="DW195" s="70">
        <f t="shared" si="536"/>
        <v>0</v>
      </c>
      <c r="DX195" s="70">
        <f t="shared" si="536"/>
        <v>0</v>
      </c>
      <c r="DY195" s="70">
        <f t="shared" si="536"/>
        <v>282.55</v>
      </c>
      <c r="DZ195" s="70">
        <f t="shared" si="536"/>
        <v>0</v>
      </c>
      <c r="EA195" s="70">
        <f t="shared" si="536"/>
        <v>0</v>
      </c>
      <c r="EB195" s="96">
        <f t="shared" si="536"/>
        <v>0</v>
      </c>
      <c r="EC195" s="70">
        <f t="shared" si="536"/>
        <v>2990.96</v>
      </c>
      <c r="ED195" s="70">
        <f t="shared" si="536"/>
        <v>410.27</v>
      </c>
      <c r="EE195" s="70">
        <f t="shared" si="536"/>
        <v>2917.13</v>
      </c>
      <c r="EF195" s="70">
        <f t="shared" si="536"/>
        <v>401.88</v>
      </c>
      <c r="EG195" s="70">
        <f t="shared" si="536"/>
        <v>189.34</v>
      </c>
      <c r="EH195" s="70" t="e">
        <f t="shared" si="536"/>
        <v>#DIV/0!</v>
      </c>
      <c r="EI195" s="70">
        <f t="shared" si="536"/>
        <v>73.83</v>
      </c>
      <c r="EJ195" s="70">
        <f t="shared" si="536"/>
        <v>8.39</v>
      </c>
      <c r="EK195" s="70">
        <f t="shared" si="536"/>
        <v>265.19</v>
      </c>
      <c r="EL195" s="70">
        <f t="shared" si="536"/>
        <v>36.53</v>
      </c>
      <c r="EM195" s="70">
        <f t="shared" si="536"/>
        <v>191.35999999999999</v>
      </c>
      <c r="EN195" s="70">
        <f t="shared" si="536"/>
        <v>28.14</v>
      </c>
      <c r="EO195" s="70">
        <f t="shared" si="536"/>
        <v>236.95</v>
      </c>
      <c r="EP195" s="70">
        <f t="shared" si="536"/>
        <v>40</v>
      </c>
      <c r="EQ195" s="66">
        <f t="shared" si="536"/>
        <v>0</v>
      </c>
      <c r="ER195" s="5"/>
      <c r="ES195" s="46">
        <f t="shared" si="536"/>
        <v>509.58999999999992</v>
      </c>
      <c r="ET195" s="46">
        <f t="shared" si="536"/>
        <v>0</v>
      </c>
      <c r="EU195" s="5">
        <f t="shared" si="442"/>
        <v>12.089999999999975</v>
      </c>
      <c r="EV195" s="5">
        <f t="shared" si="442"/>
        <v>9.7300000000000182</v>
      </c>
      <c r="EW195" s="46">
        <f t="shared" si="536"/>
        <v>3240</v>
      </c>
      <c r="EX195" s="46">
        <f t="shared" si="536"/>
        <v>460</v>
      </c>
      <c r="EY195" s="46">
        <f t="shared" si="536"/>
        <v>3899</v>
      </c>
      <c r="EZ195" s="46">
        <f t="shared" si="536"/>
        <v>550</v>
      </c>
      <c r="FA195" s="46">
        <f t="shared" si="536"/>
        <v>0</v>
      </c>
      <c r="FB195" s="46">
        <f t="shared" ref="FB195:FF195" si="537">+FB193+FB194</f>
        <v>0</v>
      </c>
      <c r="FC195" s="46">
        <f t="shared" si="537"/>
        <v>0</v>
      </c>
      <c r="FD195" s="46">
        <f t="shared" si="537"/>
        <v>0</v>
      </c>
      <c r="FE195" s="46">
        <f t="shared" si="537"/>
        <v>0</v>
      </c>
      <c r="FF195" s="46">
        <f t="shared" si="537"/>
        <v>0</v>
      </c>
    </row>
    <row r="196" spans="1:162" ht="18.75" x14ac:dyDescent="0.25">
      <c r="A196" s="68">
        <v>8</v>
      </c>
      <c r="B196" s="68" t="s">
        <v>422</v>
      </c>
      <c r="C196" s="91" t="s">
        <v>423</v>
      </c>
      <c r="D196" s="67" t="s">
        <v>424</v>
      </c>
      <c r="E196" s="69" t="s">
        <v>425</v>
      </c>
      <c r="F196" s="40">
        <v>5752.3</v>
      </c>
      <c r="G196" s="40">
        <v>1259.1599999999999</v>
      </c>
      <c r="H196" s="40">
        <v>5539.2300000000005</v>
      </c>
      <c r="I196" s="70">
        <v>1203.1599999999999</v>
      </c>
      <c r="J196" s="71">
        <v>6270</v>
      </c>
      <c r="K196" s="71">
        <v>1158.01</v>
      </c>
      <c r="L196" s="71">
        <v>0</v>
      </c>
      <c r="M196" s="71">
        <f>+L196+K196+J196</f>
        <v>7428.01</v>
      </c>
      <c r="N196" s="71">
        <v>0</v>
      </c>
      <c r="O196" s="71">
        <v>0</v>
      </c>
      <c r="P196" s="71">
        <v>0</v>
      </c>
      <c r="Q196" s="71">
        <f>+P196+O196+N196</f>
        <v>0</v>
      </c>
      <c r="R196" s="71">
        <f>+Q196+M196</f>
        <v>7428.01</v>
      </c>
      <c r="S196" s="71">
        <v>1870</v>
      </c>
      <c r="T196" s="92"/>
      <c r="U196" s="92"/>
      <c r="V196" s="70">
        <f t="shared" ref="V196:V204" si="538">ROUND(H196*1.0583,2)</f>
        <v>5862.17</v>
      </c>
      <c r="W196" s="70">
        <f t="shared" ref="W196:W204" si="539">ROUND(I196*1.0327,2)</f>
        <v>1242.5</v>
      </c>
      <c r="X196" s="70">
        <f t="shared" si="529"/>
        <v>1565.8400000000001</v>
      </c>
      <c r="Y196" s="70">
        <f t="shared" si="529"/>
        <v>627.5</v>
      </c>
      <c r="Z196" s="70">
        <v>6662.17</v>
      </c>
      <c r="AA196" s="70"/>
      <c r="AB196" s="70">
        <f t="shared" si="360"/>
        <v>6662.17</v>
      </c>
      <c r="AC196" s="43">
        <f t="shared" si="361"/>
        <v>0</v>
      </c>
      <c r="AD196" s="70">
        <f>IF(X196&gt;0,V196,R196)+800</f>
        <v>6662.17</v>
      </c>
      <c r="AE196" s="70">
        <f t="shared" ref="AE196:AE197" si="540">IF(Y196&gt;0,W196,S196)</f>
        <v>1242.5</v>
      </c>
      <c r="AF196" s="70">
        <f t="shared" si="373"/>
        <v>1687.11</v>
      </c>
      <c r="AG196" s="43">
        <f t="shared" si="530"/>
        <v>1666</v>
      </c>
      <c r="AH196" s="43">
        <f t="shared" si="530"/>
        <v>311</v>
      </c>
      <c r="AI196" s="93">
        <f t="shared" si="531"/>
        <v>555</v>
      </c>
      <c r="AJ196" s="43">
        <f t="shared" si="531"/>
        <v>104</v>
      </c>
      <c r="AK196" s="43"/>
      <c r="AL196" s="43"/>
      <c r="AM196" s="43">
        <f t="shared" si="374"/>
        <v>1665.54</v>
      </c>
      <c r="AN196" s="43">
        <f t="shared" si="375"/>
        <v>302.55</v>
      </c>
      <c r="AO196" s="43"/>
      <c r="AP196" s="43"/>
      <c r="AQ196" s="43">
        <f t="shared" si="532"/>
        <v>3331.54</v>
      </c>
      <c r="AR196" s="43">
        <f t="shared" si="532"/>
        <v>613.54999999999995</v>
      </c>
      <c r="AS196" s="43"/>
      <c r="AT196" s="43"/>
      <c r="AU196" s="43">
        <f t="shared" si="424"/>
        <v>1665.54</v>
      </c>
      <c r="AV196" s="43">
        <f t="shared" si="424"/>
        <v>310.63</v>
      </c>
      <c r="AW196" s="43"/>
      <c r="AX196" s="43"/>
      <c r="AY196" s="43">
        <f t="shared" si="520"/>
        <v>5552.08</v>
      </c>
      <c r="AZ196" s="43">
        <f t="shared" si="520"/>
        <v>1028.1799999999998</v>
      </c>
      <c r="BA196" s="43">
        <f t="shared" si="521"/>
        <v>6580.26</v>
      </c>
      <c r="BB196" s="60">
        <v>4478.16</v>
      </c>
      <c r="BC196" s="60">
        <v>256.31</v>
      </c>
      <c r="BD196" s="60">
        <f t="shared" si="522"/>
        <v>1073.92</v>
      </c>
      <c r="BE196" s="60">
        <f t="shared" si="522"/>
        <v>771.86999999999989</v>
      </c>
      <c r="BF196" s="60">
        <f t="shared" si="523"/>
        <v>895.63</v>
      </c>
      <c r="BG196" s="60">
        <f t="shared" si="523"/>
        <v>51.26</v>
      </c>
      <c r="BH196" s="43">
        <v>0</v>
      </c>
      <c r="BI196" s="43">
        <v>0</v>
      </c>
      <c r="BJ196" s="43"/>
      <c r="BK196" s="43"/>
      <c r="BL196" s="43">
        <f t="shared" si="358"/>
        <v>5552.08</v>
      </c>
      <c r="BM196" s="43">
        <f t="shared" si="358"/>
        <v>1028.1799999999998</v>
      </c>
      <c r="BN196" s="43">
        <f t="shared" si="376"/>
        <v>6580.26</v>
      </c>
      <c r="BO196" s="43">
        <v>5031.3999999999996</v>
      </c>
      <c r="BP196" s="93">
        <v>342.45</v>
      </c>
      <c r="BQ196" s="43">
        <f t="shared" si="377"/>
        <v>520.68000000000029</v>
      </c>
      <c r="BR196" s="43">
        <f t="shared" si="377"/>
        <v>685.72999999999979</v>
      </c>
      <c r="BS196" s="43">
        <f t="shared" si="378"/>
        <v>457.4</v>
      </c>
      <c r="BT196" s="43">
        <f t="shared" si="378"/>
        <v>31.13</v>
      </c>
      <c r="BU196" s="43">
        <v>0</v>
      </c>
      <c r="BV196" s="43">
        <v>0</v>
      </c>
      <c r="BW196" s="43"/>
      <c r="BX196" s="43"/>
      <c r="BY196" s="43">
        <v>364</v>
      </c>
      <c r="BZ196" s="43"/>
      <c r="CA196" s="43">
        <v>5552.08</v>
      </c>
      <c r="CB196" s="43">
        <v>664.17999999999984</v>
      </c>
      <c r="CC196" s="92">
        <v>6107.29</v>
      </c>
      <c r="CD196" s="92">
        <v>763.81</v>
      </c>
      <c r="CE196" s="92">
        <v>509</v>
      </c>
      <c r="CF196" s="92">
        <v>64</v>
      </c>
      <c r="CG196" s="92">
        <f t="shared" si="379"/>
        <v>1388.02</v>
      </c>
      <c r="CH196" s="92">
        <f t="shared" si="379"/>
        <v>166.05</v>
      </c>
      <c r="CI196" s="43"/>
      <c r="CJ196" s="43"/>
      <c r="CK196" s="72">
        <f>1830-80</f>
        <v>1750</v>
      </c>
      <c r="CL196" s="72">
        <f>200-20-10</f>
        <v>170</v>
      </c>
      <c r="CM196" s="72"/>
      <c r="CN196" s="72"/>
      <c r="CO196" s="43">
        <v>7994</v>
      </c>
      <c r="CP196" s="43">
        <v>1250</v>
      </c>
      <c r="CQ196" s="43">
        <f t="shared" si="380"/>
        <v>7000</v>
      </c>
      <c r="CR196" s="43">
        <f t="shared" si="380"/>
        <v>680</v>
      </c>
      <c r="CS196" s="43">
        <f t="shared" si="381"/>
        <v>7000</v>
      </c>
      <c r="CT196" s="43">
        <f t="shared" si="381"/>
        <v>680</v>
      </c>
      <c r="CU196" s="43">
        <v>7000</v>
      </c>
      <c r="CV196" s="43">
        <f>59+700</f>
        <v>759</v>
      </c>
      <c r="CW196" s="43">
        <v>1750</v>
      </c>
      <c r="CX196" s="43">
        <v>175</v>
      </c>
      <c r="CY196" s="43"/>
      <c r="CZ196" s="43"/>
      <c r="DA196" s="43">
        <v>4009</v>
      </c>
      <c r="DB196" s="43">
        <v>409</v>
      </c>
      <c r="DC196" s="43">
        <v>3383.97</v>
      </c>
      <c r="DD196" s="43">
        <v>407.64</v>
      </c>
      <c r="DE196" s="43">
        <v>625.0300000000002</v>
      </c>
      <c r="DF196" s="43">
        <v>1.3600000000000136</v>
      </c>
      <c r="DG196" s="43">
        <v>1566.75</v>
      </c>
      <c r="DH196" s="43">
        <v>175</v>
      </c>
      <c r="DI196" s="43">
        <v>941.7199999999998</v>
      </c>
      <c r="DJ196" s="43">
        <v>350</v>
      </c>
      <c r="DK196" s="43"/>
      <c r="DL196" s="43"/>
      <c r="DM196" s="43">
        <f t="shared" si="385"/>
        <v>4950.7199999999993</v>
      </c>
      <c r="DN196" s="43">
        <f t="shared" si="385"/>
        <v>759</v>
      </c>
      <c r="DO196" s="104">
        <v>4881.46</v>
      </c>
      <c r="DP196" s="103">
        <v>752.8</v>
      </c>
      <c r="DQ196" s="60">
        <f t="shared" si="386"/>
        <v>69.260000000000005</v>
      </c>
      <c r="DR196" s="60">
        <f t="shared" si="386"/>
        <v>6.2</v>
      </c>
      <c r="DS196" s="60">
        <f t="shared" si="387"/>
        <v>488.14600000000002</v>
      </c>
      <c r="DT196" s="60">
        <f t="shared" si="387"/>
        <v>75.28</v>
      </c>
      <c r="DU196" s="60">
        <f t="shared" si="388"/>
        <v>418.88600000000002</v>
      </c>
      <c r="DV196" s="60">
        <f t="shared" si="388"/>
        <v>69.08</v>
      </c>
      <c r="DW196" s="60"/>
      <c r="DX196" s="60"/>
      <c r="DY196" s="60">
        <f t="shared" si="389"/>
        <v>418.89</v>
      </c>
      <c r="DZ196" s="60">
        <f t="shared" si="389"/>
        <v>69.08</v>
      </c>
      <c r="EA196" s="60">
        <v>36.43</v>
      </c>
      <c r="EB196" s="60">
        <v>175</v>
      </c>
      <c r="EC196" s="43">
        <f t="shared" si="390"/>
        <v>5406.04</v>
      </c>
      <c r="ED196" s="43">
        <f t="shared" si="390"/>
        <v>1003.08</v>
      </c>
      <c r="EE196" s="43">
        <v>4875.47</v>
      </c>
      <c r="EF196" s="43">
        <v>822.25</v>
      </c>
      <c r="EG196" s="43">
        <f t="shared" si="423"/>
        <v>90.19</v>
      </c>
      <c r="EH196" s="43">
        <f t="shared" si="423"/>
        <v>81.97</v>
      </c>
      <c r="EI196" s="43">
        <f t="shared" si="391"/>
        <v>530.57000000000005</v>
      </c>
      <c r="EJ196" s="43">
        <f t="shared" si="391"/>
        <v>180.83</v>
      </c>
      <c r="EK196" s="43">
        <f t="shared" si="392"/>
        <v>443.22</v>
      </c>
      <c r="EL196" s="43">
        <f t="shared" si="392"/>
        <v>74.75</v>
      </c>
      <c r="EM196" s="43">
        <f t="shared" si="393"/>
        <v>-87.350000000000023</v>
      </c>
      <c r="EN196" s="43">
        <f t="shared" si="393"/>
        <v>-106.08000000000001</v>
      </c>
      <c r="EO196" s="43">
        <v>480</v>
      </c>
      <c r="EP196" s="43">
        <v>175</v>
      </c>
      <c r="EQ196" s="5"/>
      <c r="ER196" s="5"/>
      <c r="ES196" s="5"/>
      <c r="ET196" s="5"/>
      <c r="EU196" s="5">
        <f t="shared" si="442"/>
        <v>380.96000000000004</v>
      </c>
      <c r="EV196" s="5">
        <f t="shared" si="442"/>
        <v>-184.58000000000004</v>
      </c>
      <c r="EW196" s="5">
        <v>6267</v>
      </c>
      <c r="EX196" s="5">
        <v>993.5</v>
      </c>
      <c r="EY196" s="5">
        <v>7560</v>
      </c>
      <c r="EZ196" s="5">
        <v>850</v>
      </c>
    </row>
    <row r="197" spans="1:162" ht="18.75" x14ac:dyDescent="0.25">
      <c r="A197" s="68">
        <v>9</v>
      </c>
      <c r="B197" s="68" t="s">
        <v>426</v>
      </c>
      <c r="C197" s="91" t="s">
        <v>313</v>
      </c>
      <c r="D197" s="67" t="s">
        <v>427</v>
      </c>
      <c r="E197" s="69" t="s">
        <v>428</v>
      </c>
      <c r="F197" s="40">
        <v>2392.0499999999997</v>
      </c>
      <c r="G197" s="40">
        <v>298.33</v>
      </c>
      <c r="H197" s="40">
        <v>2392.0499999999997</v>
      </c>
      <c r="I197" s="70">
        <v>298.33</v>
      </c>
      <c r="J197" s="71">
        <v>2600</v>
      </c>
      <c r="K197" s="71">
        <v>0</v>
      </c>
      <c r="L197" s="71">
        <v>0</v>
      </c>
      <c r="M197" s="71">
        <f t="shared" ref="M197:M198" si="541">+L197+K197+J197</f>
        <v>2600</v>
      </c>
      <c r="N197" s="71">
        <v>0</v>
      </c>
      <c r="O197" s="71">
        <v>0</v>
      </c>
      <c r="P197" s="71">
        <v>0</v>
      </c>
      <c r="Q197" s="71">
        <f t="shared" ref="Q197:Q198" si="542">+P197+O197+N197</f>
        <v>0</v>
      </c>
      <c r="R197" s="71">
        <f t="shared" ref="R197:R222" si="543">+Q197+M197</f>
        <v>2600</v>
      </c>
      <c r="S197" s="71">
        <v>400</v>
      </c>
      <c r="T197" s="92"/>
      <c r="U197" s="92"/>
      <c r="V197" s="70">
        <f t="shared" si="538"/>
        <v>2531.5100000000002</v>
      </c>
      <c r="W197" s="70">
        <f t="shared" si="539"/>
        <v>308.08999999999997</v>
      </c>
      <c r="X197" s="70">
        <f t="shared" si="529"/>
        <v>68.489999999999782</v>
      </c>
      <c r="Y197" s="70">
        <f t="shared" si="529"/>
        <v>91.910000000000025</v>
      </c>
      <c r="Z197" s="70">
        <v>2531.5100000000002</v>
      </c>
      <c r="AA197" s="70"/>
      <c r="AB197" s="70">
        <f t="shared" si="360"/>
        <v>2531.5100000000002</v>
      </c>
      <c r="AC197" s="43">
        <f t="shared" si="361"/>
        <v>0</v>
      </c>
      <c r="AD197" s="70">
        <f t="shared" ref="AD197:AE204" si="544">IF(X197&gt;0,V197,R197)</f>
        <v>2531.5100000000002</v>
      </c>
      <c r="AE197" s="70">
        <f t="shared" si="540"/>
        <v>308.08999999999997</v>
      </c>
      <c r="AF197" s="70">
        <f t="shared" si="373"/>
        <v>360.88</v>
      </c>
      <c r="AG197" s="43">
        <f t="shared" si="530"/>
        <v>633</v>
      </c>
      <c r="AH197" s="43">
        <f t="shared" si="530"/>
        <v>77</v>
      </c>
      <c r="AI197" s="93">
        <f t="shared" si="531"/>
        <v>211</v>
      </c>
      <c r="AJ197" s="43">
        <f t="shared" si="531"/>
        <v>26</v>
      </c>
      <c r="AK197" s="43"/>
      <c r="AL197" s="43"/>
      <c r="AM197" s="43">
        <f t="shared" si="374"/>
        <v>632.88</v>
      </c>
      <c r="AN197" s="43">
        <f t="shared" si="375"/>
        <v>75.02</v>
      </c>
      <c r="AO197" s="43"/>
      <c r="AP197" s="43"/>
      <c r="AQ197" s="43">
        <f t="shared" si="532"/>
        <v>1265.8800000000001</v>
      </c>
      <c r="AR197" s="43">
        <f t="shared" si="532"/>
        <v>152.01999999999998</v>
      </c>
      <c r="AS197" s="43"/>
      <c r="AT197" s="43"/>
      <c r="AU197" s="43">
        <f t="shared" si="424"/>
        <v>632.88</v>
      </c>
      <c r="AV197" s="72">
        <f>ROUND(AE197*25%,2)-77.02</f>
        <v>0</v>
      </c>
      <c r="AW197" s="72"/>
      <c r="AX197" s="72"/>
      <c r="AY197" s="43">
        <f t="shared" si="520"/>
        <v>2109.7600000000002</v>
      </c>
      <c r="AZ197" s="43">
        <f t="shared" si="520"/>
        <v>178.01999999999998</v>
      </c>
      <c r="BA197" s="43">
        <f t="shared" si="521"/>
        <v>2287.7800000000002</v>
      </c>
      <c r="BB197" s="60">
        <v>2083.87</v>
      </c>
      <c r="BC197" s="60">
        <v>132.30000000000001</v>
      </c>
      <c r="BD197" s="60">
        <f t="shared" si="522"/>
        <v>25.890000000000327</v>
      </c>
      <c r="BE197" s="60">
        <f t="shared" si="522"/>
        <v>45.71999999999997</v>
      </c>
      <c r="BF197" s="60">
        <f t="shared" si="523"/>
        <v>416.77</v>
      </c>
      <c r="BG197" s="60">
        <f t="shared" si="523"/>
        <v>26.46</v>
      </c>
      <c r="BH197" s="43">
        <v>190.12</v>
      </c>
      <c r="BI197" s="43">
        <v>0</v>
      </c>
      <c r="BJ197" s="43"/>
      <c r="BK197" s="43"/>
      <c r="BL197" s="43">
        <f t="shared" ref="BL197:BM259" si="545">+BH197+AY197+BJ197</f>
        <v>2299.88</v>
      </c>
      <c r="BM197" s="43">
        <f t="shared" si="545"/>
        <v>178.01999999999998</v>
      </c>
      <c r="BN197" s="43">
        <f t="shared" si="376"/>
        <v>2477.9</v>
      </c>
      <c r="BO197" s="43">
        <v>2301.79</v>
      </c>
      <c r="BP197" s="93">
        <v>138.9</v>
      </c>
      <c r="BQ197" s="43">
        <f t="shared" si="377"/>
        <v>-1.9099999999998545</v>
      </c>
      <c r="BR197" s="43">
        <f t="shared" si="377"/>
        <v>39.119999999999976</v>
      </c>
      <c r="BS197" s="43">
        <f t="shared" si="378"/>
        <v>209.25</v>
      </c>
      <c r="BT197" s="43">
        <f t="shared" si="378"/>
        <v>12.63</v>
      </c>
      <c r="BU197" s="43">
        <f>BS197-BQ197+20</f>
        <v>231.15999999999985</v>
      </c>
      <c r="BV197" s="43">
        <v>0</v>
      </c>
      <c r="BW197" s="43"/>
      <c r="BX197" s="43"/>
      <c r="BY197" s="43"/>
      <c r="BZ197" s="43"/>
      <c r="CA197" s="43">
        <v>2531.04</v>
      </c>
      <c r="CB197" s="43">
        <v>178.01999999999998</v>
      </c>
      <c r="CC197" s="92">
        <v>2784.14</v>
      </c>
      <c r="CD197" s="92">
        <v>204.72</v>
      </c>
      <c r="CE197" s="92">
        <v>232</v>
      </c>
      <c r="CF197" s="92">
        <v>17</v>
      </c>
      <c r="CG197" s="92">
        <f t="shared" si="379"/>
        <v>632.76</v>
      </c>
      <c r="CH197" s="92">
        <f t="shared" si="379"/>
        <v>44.51</v>
      </c>
      <c r="CI197" s="43"/>
      <c r="CJ197" s="43"/>
      <c r="CK197" s="43">
        <v>700</v>
      </c>
      <c r="CL197" s="72">
        <f>150-75</f>
        <v>75</v>
      </c>
      <c r="CM197" s="72"/>
      <c r="CN197" s="72"/>
      <c r="CO197" s="43">
        <v>2700</v>
      </c>
      <c r="CP197" s="43">
        <v>338.9</v>
      </c>
      <c r="CQ197" s="43">
        <f t="shared" si="380"/>
        <v>2800</v>
      </c>
      <c r="CR197" s="43">
        <f t="shared" si="380"/>
        <v>300</v>
      </c>
      <c r="CS197" s="43">
        <f t="shared" si="381"/>
        <v>2700</v>
      </c>
      <c r="CT197" s="43">
        <f t="shared" si="381"/>
        <v>300</v>
      </c>
      <c r="CU197" s="43">
        <v>2700</v>
      </c>
      <c r="CV197" s="43">
        <v>300</v>
      </c>
      <c r="CW197" s="43">
        <f t="shared" si="382"/>
        <v>675</v>
      </c>
      <c r="CX197" s="43">
        <f>ROUND(CV197*25%,2)-40</f>
        <v>35</v>
      </c>
      <c r="CY197" s="43"/>
      <c r="CZ197" s="43">
        <v>40</v>
      </c>
      <c r="DA197" s="43">
        <f t="shared" si="383"/>
        <v>1607</v>
      </c>
      <c r="DB197" s="43">
        <f t="shared" si="383"/>
        <v>167</v>
      </c>
      <c r="DC197" s="43">
        <v>1599.96</v>
      </c>
      <c r="DD197" s="43">
        <v>167</v>
      </c>
      <c r="DE197" s="43">
        <f t="shared" si="384"/>
        <v>7.0399999999999636</v>
      </c>
      <c r="DF197" s="43">
        <f t="shared" si="384"/>
        <v>0</v>
      </c>
      <c r="DG197" s="43">
        <f t="shared" ref="DG197:DH204" si="546">ROUND(0.25*(MIN(CU197,EW197)),2)</f>
        <v>675</v>
      </c>
      <c r="DH197" s="43">
        <f t="shared" si="546"/>
        <v>70</v>
      </c>
      <c r="DI197" s="43">
        <f>+DG197-DE197</f>
        <v>667.96</v>
      </c>
      <c r="DJ197" s="43">
        <f>+DH197-DF197</f>
        <v>70</v>
      </c>
      <c r="DK197" s="43">
        <v>100</v>
      </c>
      <c r="DL197" s="43"/>
      <c r="DM197" s="43">
        <f t="shared" si="385"/>
        <v>2374.96</v>
      </c>
      <c r="DN197" s="43">
        <f t="shared" si="385"/>
        <v>237</v>
      </c>
      <c r="DO197" s="94">
        <v>2374.1</v>
      </c>
      <c r="DP197" s="95">
        <v>207.22</v>
      </c>
      <c r="DQ197" s="60">
        <f t="shared" si="386"/>
        <v>0.86</v>
      </c>
      <c r="DR197" s="60">
        <f t="shared" si="386"/>
        <v>29.78</v>
      </c>
      <c r="DS197" s="60">
        <f t="shared" si="387"/>
        <v>237.41</v>
      </c>
      <c r="DT197" s="60">
        <f t="shared" si="387"/>
        <v>20.722000000000001</v>
      </c>
      <c r="DU197" s="60">
        <f t="shared" si="388"/>
        <v>236.54999999999998</v>
      </c>
      <c r="DV197" s="60">
        <f t="shared" si="388"/>
        <v>-9.0579999999999998</v>
      </c>
      <c r="DW197" s="60"/>
      <c r="DX197" s="60"/>
      <c r="DY197" s="60">
        <f t="shared" si="389"/>
        <v>236.55</v>
      </c>
      <c r="DZ197" s="60">
        <v>0</v>
      </c>
      <c r="EA197" s="60"/>
      <c r="EB197" s="60"/>
      <c r="EC197" s="43">
        <f t="shared" si="390"/>
        <v>2611.5100000000002</v>
      </c>
      <c r="ED197" s="43">
        <f t="shared" si="390"/>
        <v>237</v>
      </c>
      <c r="EE197" s="43">
        <v>2603.41</v>
      </c>
      <c r="EF197" s="43">
        <v>218.69</v>
      </c>
      <c r="EG197" s="43">
        <f t="shared" si="423"/>
        <v>99.69</v>
      </c>
      <c r="EH197" s="43">
        <f t="shared" si="423"/>
        <v>92.27</v>
      </c>
      <c r="EI197" s="43">
        <f t="shared" si="391"/>
        <v>8.1</v>
      </c>
      <c r="EJ197" s="43">
        <f t="shared" si="391"/>
        <v>18.309999999999999</v>
      </c>
      <c r="EK197" s="43">
        <f t="shared" si="392"/>
        <v>236.67</v>
      </c>
      <c r="EL197" s="43">
        <f t="shared" si="392"/>
        <v>19.88</v>
      </c>
      <c r="EM197" s="43">
        <f t="shared" si="393"/>
        <v>228.57</v>
      </c>
      <c r="EN197" s="43">
        <f t="shared" si="393"/>
        <v>1.5700000000000003</v>
      </c>
      <c r="EO197" s="43">
        <v>245</v>
      </c>
      <c r="EP197" s="43">
        <v>169.44</v>
      </c>
      <c r="EQ197" s="5"/>
      <c r="ER197" s="5"/>
      <c r="ES197" s="5"/>
      <c r="ET197" s="5"/>
      <c r="EU197" s="5">
        <f t="shared" si="442"/>
        <v>-131.51000000000022</v>
      </c>
      <c r="EV197" s="5">
        <f t="shared" si="442"/>
        <v>-126.44</v>
      </c>
      <c r="EW197" s="5">
        <v>2725</v>
      </c>
      <c r="EX197" s="5">
        <v>280</v>
      </c>
      <c r="EY197" s="5">
        <v>2800</v>
      </c>
      <c r="EZ197" s="5">
        <v>250</v>
      </c>
    </row>
    <row r="198" spans="1:162" ht="18.75" x14ac:dyDescent="0.25">
      <c r="A198" s="68">
        <v>10</v>
      </c>
      <c r="B198" s="68" t="s">
        <v>429</v>
      </c>
      <c r="C198" s="91" t="s">
        <v>430</v>
      </c>
      <c r="D198" s="67" t="s">
        <v>431</v>
      </c>
      <c r="E198" s="69" t="s">
        <v>432</v>
      </c>
      <c r="F198" s="40">
        <v>935.22</v>
      </c>
      <c r="G198" s="40">
        <v>45.2</v>
      </c>
      <c r="H198" s="40">
        <v>935.22</v>
      </c>
      <c r="I198" s="70">
        <v>45.2</v>
      </c>
      <c r="J198" s="71">
        <v>932</v>
      </c>
      <c r="K198" s="71">
        <v>0</v>
      </c>
      <c r="L198" s="71">
        <v>0</v>
      </c>
      <c r="M198" s="71">
        <f t="shared" si="541"/>
        <v>932</v>
      </c>
      <c r="N198" s="71">
        <v>0</v>
      </c>
      <c r="O198" s="71">
        <v>0</v>
      </c>
      <c r="P198" s="71">
        <v>0</v>
      </c>
      <c r="Q198" s="71">
        <f t="shared" si="542"/>
        <v>0</v>
      </c>
      <c r="R198" s="71">
        <f t="shared" si="543"/>
        <v>932</v>
      </c>
      <c r="S198" s="71">
        <v>25</v>
      </c>
      <c r="T198" s="92"/>
      <c r="U198" s="92"/>
      <c r="V198" s="70">
        <f t="shared" si="538"/>
        <v>989.74</v>
      </c>
      <c r="W198" s="70">
        <f t="shared" si="539"/>
        <v>46.68</v>
      </c>
      <c r="X198" s="70">
        <f t="shared" si="529"/>
        <v>-57.740000000000009</v>
      </c>
      <c r="Y198" s="70">
        <f t="shared" si="529"/>
        <v>-21.68</v>
      </c>
      <c r="Z198" s="70">
        <v>932</v>
      </c>
      <c r="AA198" s="70"/>
      <c r="AB198" s="70">
        <f t="shared" ref="AB198:AB261" si="547">Z198+AA198</f>
        <v>932</v>
      </c>
      <c r="AC198" s="43">
        <f t="shared" ref="AC198:AC261" si="548">AD198-AB198</f>
        <v>0</v>
      </c>
      <c r="AD198" s="70">
        <f t="shared" si="544"/>
        <v>932</v>
      </c>
      <c r="AE198" s="70">
        <f>IF(Y198&gt;0,W198,S198)+11.15</f>
        <v>36.15</v>
      </c>
      <c r="AF198" s="70">
        <f t="shared" si="373"/>
        <v>22.56</v>
      </c>
      <c r="AG198" s="43">
        <f t="shared" si="530"/>
        <v>233</v>
      </c>
      <c r="AH198" s="43">
        <v>6</v>
      </c>
      <c r="AI198" s="93">
        <f t="shared" si="531"/>
        <v>78</v>
      </c>
      <c r="AJ198" s="43">
        <v>2</v>
      </c>
      <c r="AK198" s="43">
        <v>39.85</v>
      </c>
      <c r="AL198" s="43">
        <v>30.15</v>
      </c>
      <c r="AM198" s="43">
        <f t="shared" si="374"/>
        <v>233</v>
      </c>
      <c r="AN198" s="43">
        <f>ROUND(AE198*24.35%,2)-8.8</f>
        <v>0</v>
      </c>
      <c r="AO198" s="43"/>
      <c r="AP198" s="43"/>
      <c r="AQ198" s="43">
        <f t="shared" si="532"/>
        <v>505.85</v>
      </c>
      <c r="AR198" s="43">
        <f t="shared" si="532"/>
        <v>36.15</v>
      </c>
      <c r="AS198" s="43"/>
      <c r="AT198" s="43"/>
      <c r="AU198" s="43">
        <f t="shared" si="424"/>
        <v>233</v>
      </c>
      <c r="AV198" s="43">
        <f t="shared" si="424"/>
        <v>9.0399999999999991</v>
      </c>
      <c r="AW198" s="43"/>
      <c r="AX198" s="43"/>
      <c r="AY198" s="43">
        <f t="shared" si="520"/>
        <v>816.85</v>
      </c>
      <c r="AZ198" s="43">
        <f t="shared" si="520"/>
        <v>47.19</v>
      </c>
      <c r="BA198" s="43">
        <f t="shared" si="521"/>
        <v>864.04</v>
      </c>
      <c r="BB198" s="60">
        <v>732.17</v>
      </c>
      <c r="BC198" s="60">
        <v>56.84</v>
      </c>
      <c r="BD198" s="60">
        <f t="shared" si="522"/>
        <v>84.680000000000064</v>
      </c>
      <c r="BE198" s="60">
        <f t="shared" si="522"/>
        <v>-9.6500000000000057</v>
      </c>
      <c r="BF198" s="60">
        <f t="shared" si="523"/>
        <v>146.43</v>
      </c>
      <c r="BG198" s="60">
        <f t="shared" si="523"/>
        <v>11.37</v>
      </c>
      <c r="BH198" s="43">
        <v>30.88</v>
      </c>
      <c r="BI198" s="43">
        <v>1.6</v>
      </c>
      <c r="BJ198" s="43"/>
      <c r="BK198" s="43"/>
      <c r="BL198" s="43">
        <f t="shared" si="545"/>
        <v>847.73</v>
      </c>
      <c r="BM198" s="43">
        <f t="shared" si="545"/>
        <v>48.79</v>
      </c>
      <c r="BN198" s="43">
        <f t="shared" si="376"/>
        <v>896.52</v>
      </c>
      <c r="BO198" s="43">
        <v>806.5</v>
      </c>
      <c r="BP198" s="93">
        <v>59.24</v>
      </c>
      <c r="BQ198" s="43">
        <f t="shared" ref="BQ198:BR261" si="549">BL198-BO198</f>
        <v>41.230000000000018</v>
      </c>
      <c r="BR198" s="43">
        <f t="shared" si="549"/>
        <v>-10.450000000000003</v>
      </c>
      <c r="BS198" s="43">
        <f t="shared" ref="BS198:BT261" si="550">ROUND(BO198/11,2)</f>
        <v>73.319999999999993</v>
      </c>
      <c r="BT198" s="43">
        <f t="shared" si="550"/>
        <v>5.39</v>
      </c>
      <c r="BU198" s="43">
        <v>90</v>
      </c>
      <c r="BV198" s="43">
        <v>15</v>
      </c>
      <c r="BW198" s="43"/>
      <c r="BX198" s="43"/>
      <c r="BY198" s="43"/>
      <c r="BZ198" s="43"/>
      <c r="CA198" s="43">
        <v>937.73</v>
      </c>
      <c r="CB198" s="43">
        <v>63.79</v>
      </c>
      <c r="CC198" s="92">
        <v>1031.5</v>
      </c>
      <c r="CD198" s="92">
        <v>73.36</v>
      </c>
      <c r="CE198" s="92">
        <v>86</v>
      </c>
      <c r="CF198" s="92">
        <v>6</v>
      </c>
      <c r="CG198" s="92">
        <f t="shared" ref="CG198:CH261" si="551">ROUND(CA198/12*3,2)</f>
        <v>234.43</v>
      </c>
      <c r="CH198" s="92">
        <f t="shared" si="551"/>
        <v>15.95</v>
      </c>
      <c r="CI198" s="43"/>
      <c r="CJ198" s="43"/>
      <c r="CK198" s="43">
        <v>250</v>
      </c>
      <c r="CL198" s="72">
        <f>100-50</f>
        <v>50</v>
      </c>
      <c r="CM198" s="72">
        <v>50</v>
      </c>
      <c r="CN198" s="72">
        <f>50+60</f>
        <v>110</v>
      </c>
      <c r="CO198" s="43">
        <v>1112</v>
      </c>
      <c r="CP198" s="43">
        <v>110</v>
      </c>
      <c r="CQ198" s="43">
        <f t="shared" ref="CQ198:CR261" si="552">ROUND(CK198/3*12,2)</f>
        <v>1000</v>
      </c>
      <c r="CR198" s="43">
        <f t="shared" si="552"/>
        <v>200</v>
      </c>
      <c r="CS198" s="43">
        <f t="shared" ref="CS198:CV261" si="553">IF(CO198&lt;CQ198,CO198,CQ198)</f>
        <v>1000</v>
      </c>
      <c r="CT198" s="43">
        <f t="shared" si="553"/>
        <v>110</v>
      </c>
      <c r="CU198" s="43">
        <v>1000</v>
      </c>
      <c r="CV198" s="43">
        <f>110+56</f>
        <v>166</v>
      </c>
      <c r="CW198" s="43">
        <f t="shared" ref="CW198:CX261" si="554">ROUND(CU198*25%,2)</f>
        <v>250</v>
      </c>
      <c r="CX198" s="43">
        <f>ROUND(CV198*25%,2)-41.5</f>
        <v>0</v>
      </c>
      <c r="CY198" s="43"/>
      <c r="CZ198" s="43"/>
      <c r="DA198" s="43">
        <f t="shared" ref="DA198:DB261" si="555">+CY198+CW198+CM198+CK198+CE198</f>
        <v>636</v>
      </c>
      <c r="DB198" s="43">
        <f t="shared" si="555"/>
        <v>166</v>
      </c>
      <c r="DC198" s="43">
        <v>674.35</v>
      </c>
      <c r="DD198" s="43">
        <v>144.91</v>
      </c>
      <c r="DE198" s="43">
        <f t="shared" ref="DE198:DF261" si="556">+DA198-DC198</f>
        <v>-38.350000000000023</v>
      </c>
      <c r="DF198" s="43">
        <f t="shared" si="556"/>
        <v>21.090000000000003</v>
      </c>
      <c r="DG198" s="43">
        <f t="shared" si="546"/>
        <v>250</v>
      </c>
      <c r="DH198" s="43">
        <f t="shared" si="546"/>
        <v>41.5</v>
      </c>
      <c r="DI198" s="43">
        <f t="shared" ref="DI198:DJ204" si="557">+DG198-DE198</f>
        <v>288.35000000000002</v>
      </c>
      <c r="DJ198" s="43">
        <f>+DH198-DF198-20.41</f>
        <v>0</v>
      </c>
      <c r="DK198" s="43"/>
      <c r="DL198" s="43"/>
      <c r="DM198" s="43">
        <f t="shared" ref="DM198:DN261" si="558">+DI198+DA198+DK198</f>
        <v>924.35</v>
      </c>
      <c r="DN198" s="43">
        <f t="shared" si="558"/>
        <v>166</v>
      </c>
      <c r="DO198" s="94">
        <v>861.59</v>
      </c>
      <c r="DP198" s="94">
        <v>144.9</v>
      </c>
      <c r="DQ198" s="60">
        <f t="shared" ref="DQ198:DR261" si="559">ROUND(DM198-DO198,2)</f>
        <v>62.76</v>
      </c>
      <c r="DR198" s="60">
        <f t="shared" si="559"/>
        <v>21.1</v>
      </c>
      <c r="DS198" s="60">
        <f t="shared" ref="DS198:DT261" si="560">DO198/10</f>
        <v>86.159000000000006</v>
      </c>
      <c r="DT198" s="60">
        <f t="shared" si="560"/>
        <v>14.49</v>
      </c>
      <c r="DU198" s="60">
        <f t="shared" ref="DU198:DV261" si="561">DS198-DQ198</f>
        <v>23.399000000000008</v>
      </c>
      <c r="DV198" s="60">
        <f t="shared" si="561"/>
        <v>-6.6100000000000012</v>
      </c>
      <c r="DW198" s="60"/>
      <c r="DX198" s="60"/>
      <c r="DY198" s="60">
        <f t="shared" si="389"/>
        <v>23.4</v>
      </c>
      <c r="DZ198" s="60">
        <v>0</v>
      </c>
      <c r="EA198" s="60"/>
      <c r="EB198" s="60"/>
      <c r="EC198" s="43">
        <f t="shared" ref="EC198:ED261" si="562">+DY198+DM198+EA198</f>
        <v>947.75</v>
      </c>
      <c r="ED198" s="43">
        <f t="shared" si="562"/>
        <v>166</v>
      </c>
      <c r="EE198" s="43">
        <v>943.6</v>
      </c>
      <c r="EF198" s="43">
        <v>147.29</v>
      </c>
      <c r="EG198" s="43">
        <f t="shared" si="423"/>
        <v>99.56</v>
      </c>
      <c r="EH198" s="43">
        <f t="shared" si="423"/>
        <v>88.73</v>
      </c>
      <c r="EI198" s="43">
        <f t="shared" ref="EI198:EJ261" si="563">ROUND(EC198-EE198,2)</f>
        <v>4.1500000000000004</v>
      </c>
      <c r="EJ198" s="43">
        <f t="shared" si="563"/>
        <v>18.71</v>
      </c>
      <c r="EK198" s="43">
        <f t="shared" ref="EK198:EL261" si="564">ROUND(EE198/11,2)</f>
        <v>85.78</v>
      </c>
      <c r="EL198" s="43">
        <f t="shared" si="564"/>
        <v>13.39</v>
      </c>
      <c r="EM198" s="43">
        <f t="shared" ref="EM198:EN261" si="565">+EK198-EI198</f>
        <v>81.63</v>
      </c>
      <c r="EN198" s="43">
        <f t="shared" si="565"/>
        <v>-5.32</v>
      </c>
      <c r="EO198" s="43">
        <v>95</v>
      </c>
      <c r="EP198" s="43">
        <v>0</v>
      </c>
      <c r="EQ198" s="5"/>
      <c r="ER198" s="5"/>
      <c r="ES198" s="5"/>
      <c r="ET198" s="5"/>
      <c r="EU198" s="5">
        <f t="shared" si="442"/>
        <v>-42.75</v>
      </c>
      <c r="EV198" s="5">
        <f t="shared" si="442"/>
        <v>38.909999999999997</v>
      </c>
      <c r="EW198" s="5">
        <v>1000</v>
      </c>
      <c r="EX198" s="5">
        <v>204.91</v>
      </c>
      <c r="EY198" s="5">
        <v>1150</v>
      </c>
      <c r="EZ198" s="5">
        <v>140</v>
      </c>
    </row>
    <row r="199" spans="1:162" ht="18.75" x14ac:dyDescent="0.25">
      <c r="A199" s="37">
        <v>11</v>
      </c>
      <c r="B199" s="37"/>
      <c r="C199" s="91" t="s">
        <v>193</v>
      </c>
      <c r="D199" s="38" t="s">
        <v>433</v>
      </c>
      <c r="E199" s="39"/>
      <c r="F199" s="40">
        <v>1625.58</v>
      </c>
      <c r="G199" s="40">
        <v>63.18</v>
      </c>
      <c r="H199" s="40">
        <v>1625.58</v>
      </c>
      <c r="I199" s="40">
        <v>79.47</v>
      </c>
      <c r="J199" s="41">
        <v>1900</v>
      </c>
      <c r="K199" s="41">
        <v>0</v>
      </c>
      <c r="L199" s="41">
        <v>0</v>
      </c>
      <c r="M199" s="41">
        <f t="shared" ref="M199:M204" si="566">J199+K199+L199</f>
        <v>1900</v>
      </c>
      <c r="N199" s="41">
        <v>0</v>
      </c>
      <c r="O199" s="41">
        <v>0</v>
      </c>
      <c r="P199" s="41">
        <v>0</v>
      </c>
      <c r="Q199" s="41">
        <f t="shared" ref="Q199:Q204" si="567">N199+O199+P199</f>
        <v>0</v>
      </c>
      <c r="R199" s="41">
        <f t="shared" si="543"/>
        <v>1900</v>
      </c>
      <c r="S199" s="41">
        <v>60</v>
      </c>
      <c r="T199" s="92"/>
      <c r="U199" s="92"/>
      <c r="V199" s="40">
        <f t="shared" si="538"/>
        <v>1720.35</v>
      </c>
      <c r="W199" s="40">
        <f t="shared" si="539"/>
        <v>82.07</v>
      </c>
      <c r="X199" s="43">
        <f t="shared" si="529"/>
        <v>179.65000000000009</v>
      </c>
      <c r="Y199" s="43">
        <f t="shared" si="529"/>
        <v>-22.069999999999993</v>
      </c>
      <c r="Z199" s="43">
        <v>1720.35</v>
      </c>
      <c r="AA199" s="43"/>
      <c r="AB199" s="43">
        <f t="shared" si="547"/>
        <v>1720.35</v>
      </c>
      <c r="AC199" s="43">
        <f t="shared" si="548"/>
        <v>0</v>
      </c>
      <c r="AD199" s="43">
        <f t="shared" si="544"/>
        <v>1720.35</v>
      </c>
      <c r="AE199" s="43">
        <f>IF(Y199&gt;0,W199,S199)+73</f>
        <v>133</v>
      </c>
      <c r="AF199" s="43">
        <f t="shared" si="373"/>
        <v>54.13</v>
      </c>
      <c r="AG199" s="43">
        <f t="shared" si="530"/>
        <v>430</v>
      </c>
      <c r="AH199" s="43">
        <f>ROUND(AE199/4,0)-18</f>
        <v>15</v>
      </c>
      <c r="AI199" s="93">
        <f t="shared" si="531"/>
        <v>143</v>
      </c>
      <c r="AJ199" s="43">
        <f>ROUND(AE199/12,0)-6</f>
        <v>5</v>
      </c>
      <c r="AK199" s="43"/>
      <c r="AL199" s="43"/>
      <c r="AM199" s="43">
        <f t="shared" si="374"/>
        <v>430.09</v>
      </c>
      <c r="AN199" s="43">
        <f>ROUND(AE199*24.35%,2)-17.78</f>
        <v>14.61</v>
      </c>
      <c r="AO199" s="43"/>
      <c r="AP199" s="43"/>
      <c r="AQ199" s="43">
        <f t="shared" si="532"/>
        <v>860.08999999999992</v>
      </c>
      <c r="AR199" s="43">
        <f t="shared" si="532"/>
        <v>29.61</v>
      </c>
      <c r="AS199" s="43"/>
      <c r="AT199" s="43">
        <v>73</v>
      </c>
      <c r="AU199" s="43">
        <f t="shared" si="424"/>
        <v>430.09</v>
      </c>
      <c r="AV199" s="43">
        <v>25.39</v>
      </c>
      <c r="AW199" s="43"/>
      <c r="AX199" s="43">
        <v>9</v>
      </c>
      <c r="AY199" s="43">
        <f t="shared" si="520"/>
        <v>1433.1799999999998</v>
      </c>
      <c r="AZ199" s="43">
        <f t="shared" si="520"/>
        <v>142</v>
      </c>
      <c r="BA199" s="43">
        <f t="shared" si="521"/>
        <v>1575.1799999999998</v>
      </c>
      <c r="BB199" s="60">
        <v>1433.18</v>
      </c>
      <c r="BC199" s="60">
        <v>142</v>
      </c>
      <c r="BD199" s="60">
        <f t="shared" si="522"/>
        <v>0</v>
      </c>
      <c r="BE199" s="60">
        <f t="shared" si="522"/>
        <v>0</v>
      </c>
      <c r="BF199" s="60">
        <f t="shared" si="523"/>
        <v>286.64</v>
      </c>
      <c r="BG199" s="60">
        <f t="shared" si="523"/>
        <v>28.4</v>
      </c>
      <c r="BH199" s="43">
        <v>143.32</v>
      </c>
      <c r="BI199" s="43">
        <v>0</v>
      </c>
      <c r="BJ199" s="43"/>
      <c r="BK199" s="43"/>
      <c r="BL199" s="43">
        <f t="shared" si="545"/>
        <v>1576.4999999999998</v>
      </c>
      <c r="BM199" s="43">
        <f t="shared" si="545"/>
        <v>142</v>
      </c>
      <c r="BN199" s="43">
        <f t="shared" si="376"/>
        <v>1718.4999999999998</v>
      </c>
      <c r="BO199" s="43">
        <v>1576.5</v>
      </c>
      <c r="BP199" s="93">
        <v>142</v>
      </c>
      <c r="BQ199" s="43">
        <f t="shared" si="549"/>
        <v>0</v>
      </c>
      <c r="BR199" s="43">
        <f t="shared" si="549"/>
        <v>0</v>
      </c>
      <c r="BS199" s="43">
        <f t="shared" si="550"/>
        <v>143.32</v>
      </c>
      <c r="BT199" s="43">
        <f t="shared" si="550"/>
        <v>12.91</v>
      </c>
      <c r="BU199" s="43">
        <f t="shared" ref="BU199:BU203" si="568">ROUND(BS199-BQ199,2)</f>
        <v>143.32</v>
      </c>
      <c r="BV199" s="43">
        <v>0</v>
      </c>
      <c r="BW199" s="43">
        <v>35.18</v>
      </c>
      <c r="BX199" s="43">
        <v>22</v>
      </c>
      <c r="BY199" s="43"/>
      <c r="BZ199" s="43"/>
      <c r="CA199" s="43">
        <v>1754.9999999999998</v>
      </c>
      <c r="CB199" s="43">
        <v>164</v>
      </c>
      <c r="CC199" s="92">
        <v>1930.5</v>
      </c>
      <c r="CD199" s="92">
        <v>188.6</v>
      </c>
      <c r="CE199" s="92">
        <v>161</v>
      </c>
      <c r="CF199" s="92">
        <v>16</v>
      </c>
      <c r="CG199" s="92">
        <f t="shared" si="551"/>
        <v>438.75</v>
      </c>
      <c r="CH199" s="92">
        <f t="shared" si="551"/>
        <v>41</v>
      </c>
      <c r="CI199" s="43"/>
      <c r="CJ199" s="43"/>
      <c r="CK199" s="43">
        <v>440</v>
      </c>
      <c r="CL199" s="43">
        <v>0</v>
      </c>
      <c r="CM199" s="43"/>
      <c r="CN199" s="43"/>
      <c r="CO199" s="43">
        <v>1800</v>
      </c>
      <c r="CP199" s="119">
        <v>200</v>
      </c>
      <c r="CQ199" s="43">
        <f t="shared" si="552"/>
        <v>1760</v>
      </c>
      <c r="CR199" s="43">
        <f t="shared" si="552"/>
        <v>0</v>
      </c>
      <c r="CS199" s="43">
        <f t="shared" si="553"/>
        <v>1760</v>
      </c>
      <c r="CT199" s="74">
        <f>IF(CP199&lt;CR199,CP199,CR199)+268</f>
        <v>268</v>
      </c>
      <c r="CU199" s="43">
        <v>1800</v>
      </c>
      <c r="CV199" s="43">
        <v>268</v>
      </c>
      <c r="CW199" s="43">
        <f t="shared" si="554"/>
        <v>450</v>
      </c>
      <c r="CX199" s="43">
        <f t="shared" si="554"/>
        <v>67</v>
      </c>
      <c r="CY199" s="43"/>
      <c r="CZ199" s="43"/>
      <c r="DA199" s="43">
        <f t="shared" si="555"/>
        <v>1051</v>
      </c>
      <c r="DB199" s="43">
        <f t="shared" si="555"/>
        <v>83</v>
      </c>
      <c r="DC199" s="43">
        <v>1051</v>
      </c>
      <c r="DD199" s="43">
        <v>83</v>
      </c>
      <c r="DE199" s="43">
        <f t="shared" si="556"/>
        <v>0</v>
      </c>
      <c r="DF199" s="43">
        <f t="shared" si="556"/>
        <v>0</v>
      </c>
      <c r="DG199" s="43">
        <f t="shared" si="546"/>
        <v>450</v>
      </c>
      <c r="DH199" s="43">
        <f t="shared" si="546"/>
        <v>67</v>
      </c>
      <c r="DI199" s="43">
        <f t="shared" si="557"/>
        <v>450</v>
      </c>
      <c r="DJ199" s="43">
        <f t="shared" si="557"/>
        <v>67</v>
      </c>
      <c r="DK199" s="43">
        <v>50</v>
      </c>
      <c r="DL199" s="43">
        <v>50</v>
      </c>
      <c r="DM199" s="43">
        <f t="shared" si="558"/>
        <v>1551</v>
      </c>
      <c r="DN199" s="43">
        <f t="shared" si="558"/>
        <v>200</v>
      </c>
      <c r="DO199" s="94">
        <v>1551</v>
      </c>
      <c r="DP199" s="99">
        <v>167.19</v>
      </c>
      <c r="DQ199" s="60">
        <f t="shared" si="559"/>
        <v>0</v>
      </c>
      <c r="DR199" s="60">
        <f t="shared" si="559"/>
        <v>32.81</v>
      </c>
      <c r="DS199" s="60">
        <f t="shared" si="560"/>
        <v>155.1</v>
      </c>
      <c r="DT199" s="60">
        <f t="shared" si="560"/>
        <v>16.719000000000001</v>
      </c>
      <c r="DU199" s="60">
        <f t="shared" si="561"/>
        <v>155.1</v>
      </c>
      <c r="DV199" s="60">
        <f t="shared" si="561"/>
        <v>-16.091000000000001</v>
      </c>
      <c r="DW199" s="60"/>
      <c r="DX199" s="60">
        <v>15</v>
      </c>
      <c r="DY199" s="60">
        <f t="shared" ref="DY199:DZ251" si="569">ROUND(DU199+DW199,2)</f>
        <v>155.1</v>
      </c>
      <c r="DZ199" s="60">
        <v>0</v>
      </c>
      <c r="EA199" s="60"/>
      <c r="EB199" s="60"/>
      <c r="EC199" s="43">
        <f t="shared" si="562"/>
        <v>1706.1</v>
      </c>
      <c r="ED199" s="43">
        <f t="shared" si="562"/>
        <v>200</v>
      </c>
      <c r="EE199" s="43">
        <v>1704.7</v>
      </c>
      <c r="EF199" s="43">
        <v>168.69</v>
      </c>
      <c r="EG199" s="43">
        <f t="shared" si="423"/>
        <v>99.92</v>
      </c>
      <c r="EH199" s="43">
        <f t="shared" si="423"/>
        <v>84.35</v>
      </c>
      <c r="EI199" s="43">
        <f t="shared" si="563"/>
        <v>1.4</v>
      </c>
      <c r="EJ199" s="43">
        <f t="shared" si="563"/>
        <v>31.31</v>
      </c>
      <c r="EK199" s="43">
        <f t="shared" si="564"/>
        <v>154.97</v>
      </c>
      <c r="EL199" s="43">
        <f t="shared" si="564"/>
        <v>15.34</v>
      </c>
      <c r="EM199" s="43">
        <f t="shared" si="565"/>
        <v>153.57</v>
      </c>
      <c r="EN199" s="43">
        <f t="shared" si="565"/>
        <v>-15.969999999999999</v>
      </c>
      <c r="EO199" s="43">
        <v>155</v>
      </c>
      <c r="EP199" s="43">
        <v>13</v>
      </c>
      <c r="EQ199" s="5"/>
      <c r="ER199" s="5"/>
      <c r="ES199" s="5"/>
      <c r="ET199" s="5"/>
      <c r="EU199" s="5">
        <f t="shared" si="442"/>
        <v>-11.099999999999909</v>
      </c>
      <c r="EV199" s="5">
        <f t="shared" si="442"/>
        <v>55</v>
      </c>
      <c r="EW199" s="5">
        <v>1850</v>
      </c>
      <c r="EX199" s="5">
        <v>268</v>
      </c>
      <c r="EY199" s="5">
        <v>1900</v>
      </c>
      <c r="EZ199" s="5">
        <v>372</v>
      </c>
    </row>
    <row r="200" spans="1:162" ht="18.75" x14ac:dyDescent="0.25">
      <c r="A200" s="37">
        <v>12</v>
      </c>
      <c r="B200" s="37"/>
      <c r="C200" s="91" t="s">
        <v>193</v>
      </c>
      <c r="D200" s="38" t="s">
        <v>434</v>
      </c>
      <c r="E200" s="39"/>
      <c r="F200" s="40">
        <v>572.42999999999984</v>
      </c>
      <c r="G200" s="40">
        <v>0</v>
      </c>
      <c r="H200" s="40">
        <v>572.42999999999984</v>
      </c>
      <c r="I200" s="40">
        <v>0</v>
      </c>
      <c r="J200" s="41">
        <v>852.63</v>
      </c>
      <c r="K200" s="41">
        <v>0</v>
      </c>
      <c r="L200" s="41">
        <v>0</v>
      </c>
      <c r="M200" s="41">
        <f t="shared" si="566"/>
        <v>852.63</v>
      </c>
      <c r="N200" s="41">
        <v>0</v>
      </c>
      <c r="O200" s="41">
        <v>0</v>
      </c>
      <c r="P200" s="41">
        <v>0</v>
      </c>
      <c r="Q200" s="41">
        <f t="shared" si="567"/>
        <v>0</v>
      </c>
      <c r="R200" s="41">
        <f t="shared" si="543"/>
        <v>852.63</v>
      </c>
      <c r="S200" s="41"/>
      <c r="T200" s="92"/>
      <c r="U200" s="92"/>
      <c r="V200" s="40">
        <f t="shared" si="538"/>
        <v>605.79999999999995</v>
      </c>
      <c r="W200" s="40">
        <f t="shared" si="539"/>
        <v>0</v>
      </c>
      <c r="X200" s="43">
        <f t="shared" si="529"/>
        <v>246.83000000000004</v>
      </c>
      <c r="Y200" s="43">
        <f t="shared" si="529"/>
        <v>0</v>
      </c>
      <c r="Z200" s="43">
        <v>605.79999999999995</v>
      </c>
      <c r="AA200" s="43"/>
      <c r="AB200" s="43">
        <f t="shared" si="547"/>
        <v>605.79999999999995</v>
      </c>
      <c r="AC200" s="43">
        <f t="shared" si="548"/>
        <v>0</v>
      </c>
      <c r="AD200" s="43">
        <f t="shared" si="544"/>
        <v>605.79999999999995</v>
      </c>
      <c r="AE200" s="43">
        <f t="shared" si="544"/>
        <v>0</v>
      </c>
      <c r="AF200" s="43">
        <f t="shared" ref="AF200:AF255" si="570">ROUND(S200*0.9022,2)</f>
        <v>0</v>
      </c>
      <c r="AG200" s="43">
        <f t="shared" si="530"/>
        <v>151</v>
      </c>
      <c r="AH200" s="43">
        <f t="shared" si="530"/>
        <v>0</v>
      </c>
      <c r="AI200" s="93">
        <f t="shared" si="531"/>
        <v>50</v>
      </c>
      <c r="AJ200" s="43">
        <f t="shared" si="531"/>
        <v>0</v>
      </c>
      <c r="AK200" s="43"/>
      <c r="AL200" s="43"/>
      <c r="AM200" s="43">
        <f t="shared" ref="AM200:AM255" si="571">ROUND(AD200*25%,2)</f>
        <v>151.44999999999999</v>
      </c>
      <c r="AN200" s="43">
        <f t="shared" ref="AN200:AN255" si="572">ROUND(AE200*24.35%,2)</f>
        <v>0</v>
      </c>
      <c r="AO200" s="43"/>
      <c r="AP200" s="43"/>
      <c r="AQ200" s="43">
        <f t="shared" si="532"/>
        <v>302.45</v>
      </c>
      <c r="AR200" s="43">
        <f t="shared" si="532"/>
        <v>0</v>
      </c>
      <c r="AS200" s="43"/>
      <c r="AT200" s="43"/>
      <c r="AU200" s="43">
        <f t="shared" si="424"/>
        <v>151.44999999999999</v>
      </c>
      <c r="AV200" s="43">
        <f t="shared" si="424"/>
        <v>0</v>
      </c>
      <c r="AW200" s="43"/>
      <c r="AX200" s="43"/>
      <c r="AY200" s="43">
        <f t="shared" si="520"/>
        <v>503.9</v>
      </c>
      <c r="AZ200" s="43">
        <f t="shared" si="520"/>
        <v>0</v>
      </c>
      <c r="BA200" s="43">
        <f t="shared" si="521"/>
        <v>503.9</v>
      </c>
      <c r="BB200" s="60">
        <v>503.9</v>
      </c>
      <c r="BC200" s="60"/>
      <c r="BD200" s="60">
        <f t="shared" si="522"/>
        <v>0</v>
      </c>
      <c r="BE200" s="60">
        <f t="shared" si="522"/>
        <v>0</v>
      </c>
      <c r="BF200" s="60">
        <f t="shared" si="523"/>
        <v>100.78</v>
      </c>
      <c r="BG200" s="60">
        <f t="shared" si="523"/>
        <v>0</v>
      </c>
      <c r="BH200" s="43">
        <v>50.39</v>
      </c>
      <c r="BI200" s="43">
        <v>0</v>
      </c>
      <c r="BJ200" s="43"/>
      <c r="BK200" s="43"/>
      <c r="BL200" s="43">
        <f t="shared" si="545"/>
        <v>554.29</v>
      </c>
      <c r="BM200" s="43">
        <f t="shared" si="545"/>
        <v>0</v>
      </c>
      <c r="BN200" s="43">
        <f t="shared" ref="BN200:BN261" si="573">BL200+BM200</f>
        <v>554.29</v>
      </c>
      <c r="BO200" s="43">
        <v>503.9</v>
      </c>
      <c r="BP200" s="93"/>
      <c r="BQ200" s="43">
        <f t="shared" si="549"/>
        <v>50.389999999999986</v>
      </c>
      <c r="BR200" s="43">
        <f t="shared" si="549"/>
        <v>0</v>
      </c>
      <c r="BS200" s="43">
        <f t="shared" si="550"/>
        <v>45.81</v>
      </c>
      <c r="BT200" s="43">
        <f t="shared" si="550"/>
        <v>0</v>
      </c>
      <c r="BU200" s="43">
        <f t="shared" si="568"/>
        <v>-4.58</v>
      </c>
      <c r="BV200" s="43">
        <v>0</v>
      </c>
      <c r="BW200" s="43"/>
      <c r="BX200" s="43"/>
      <c r="BY200" s="43"/>
      <c r="BZ200" s="43"/>
      <c r="CA200" s="43">
        <v>549.70999999999992</v>
      </c>
      <c r="CB200" s="43">
        <v>0</v>
      </c>
      <c r="CC200" s="92">
        <v>604.67999999999995</v>
      </c>
      <c r="CD200" s="92">
        <v>0</v>
      </c>
      <c r="CE200" s="92">
        <v>50</v>
      </c>
      <c r="CF200" s="92">
        <v>0</v>
      </c>
      <c r="CG200" s="92">
        <f t="shared" si="551"/>
        <v>137.43</v>
      </c>
      <c r="CH200" s="92">
        <f t="shared" si="551"/>
        <v>0</v>
      </c>
      <c r="CI200" s="43"/>
      <c r="CJ200" s="43"/>
      <c r="CK200" s="43">
        <v>135</v>
      </c>
      <c r="CL200" s="43">
        <v>0</v>
      </c>
      <c r="CM200" s="43"/>
      <c r="CN200" s="43"/>
      <c r="CO200" s="43">
        <v>725</v>
      </c>
      <c r="CP200" s="43"/>
      <c r="CQ200" s="43">
        <f t="shared" si="552"/>
        <v>540</v>
      </c>
      <c r="CR200" s="43">
        <f t="shared" si="552"/>
        <v>0</v>
      </c>
      <c r="CS200" s="43">
        <f t="shared" si="553"/>
        <v>540</v>
      </c>
      <c r="CT200" s="43">
        <f t="shared" si="553"/>
        <v>0</v>
      </c>
      <c r="CU200" s="43">
        <v>540</v>
      </c>
      <c r="CV200" s="43">
        <v>0</v>
      </c>
      <c r="CW200" s="43">
        <f t="shared" si="554"/>
        <v>135</v>
      </c>
      <c r="CX200" s="43">
        <f t="shared" si="554"/>
        <v>0</v>
      </c>
      <c r="CY200" s="43"/>
      <c r="CZ200" s="43"/>
      <c r="DA200" s="43">
        <f t="shared" si="555"/>
        <v>320</v>
      </c>
      <c r="DB200" s="43">
        <f t="shared" si="555"/>
        <v>0</v>
      </c>
      <c r="DC200" s="43">
        <v>270</v>
      </c>
      <c r="DD200" s="43">
        <v>0</v>
      </c>
      <c r="DE200" s="43">
        <f t="shared" si="556"/>
        <v>50</v>
      </c>
      <c r="DF200" s="43">
        <f t="shared" si="556"/>
        <v>0</v>
      </c>
      <c r="DG200" s="43">
        <f t="shared" si="546"/>
        <v>135</v>
      </c>
      <c r="DH200" s="43">
        <f t="shared" si="546"/>
        <v>0</v>
      </c>
      <c r="DI200" s="43">
        <f t="shared" si="557"/>
        <v>85</v>
      </c>
      <c r="DJ200" s="43">
        <f t="shared" si="557"/>
        <v>0</v>
      </c>
      <c r="DK200" s="43"/>
      <c r="DL200" s="43"/>
      <c r="DM200" s="43">
        <f t="shared" si="558"/>
        <v>405</v>
      </c>
      <c r="DN200" s="43">
        <f t="shared" si="558"/>
        <v>0</v>
      </c>
      <c r="DO200" s="94">
        <v>405</v>
      </c>
      <c r="DP200" s="95">
        <v>0</v>
      </c>
      <c r="DQ200" s="60">
        <f t="shared" si="559"/>
        <v>0</v>
      </c>
      <c r="DR200" s="60">
        <f t="shared" si="559"/>
        <v>0</v>
      </c>
      <c r="DS200" s="60">
        <f t="shared" si="560"/>
        <v>40.5</v>
      </c>
      <c r="DT200" s="60">
        <f t="shared" si="560"/>
        <v>0</v>
      </c>
      <c r="DU200" s="60">
        <f t="shared" si="561"/>
        <v>40.5</v>
      </c>
      <c r="DV200" s="60">
        <f t="shared" si="561"/>
        <v>0</v>
      </c>
      <c r="DW200" s="60"/>
      <c r="DX200" s="60"/>
      <c r="DY200" s="60">
        <f t="shared" si="569"/>
        <v>40.5</v>
      </c>
      <c r="DZ200" s="60">
        <f t="shared" si="569"/>
        <v>0</v>
      </c>
      <c r="EA200" s="60"/>
      <c r="EB200" s="60"/>
      <c r="EC200" s="43">
        <f t="shared" si="562"/>
        <v>445.5</v>
      </c>
      <c r="ED200" s="43">
        <f t="shared" si="562"/>
        <v>0</v>
      </c>
      <c r="EE200" s="43">
        <v>405</v>
      </c>
      <c r="EF200" s="43">
        <v>0</v>
      </c>
      <c r="EG200" s="43">
        <f t="shared" si="423"/>
        <v>90.91</v>
      </c>
      <c r="EH200" s="43" t="e">
        <f t="shared" si="423"/>
        <v>#DIV/0!</v>
      </c>
      <c r="EI200" s="43">
        <f t="shared" si="563"/>
        <v>40.5</v>
      </c>
      <c r="EJ200" s="43">
        <f t="shared" si="563"/>
        <v>0</v>
      </c>
      <c r="EK200" s="43">
        <f t="shared" si="564"/>
        <v>36.82</v>
      </c>
      <c r="EL200" s="43">
        <f t="shared" si="564"/>
        <v>0</v>
      </c>
      <c r="EM200" s="43">
        <f t="shared" si="565"/>
        <v>-3.6799999999999997</v>
      </c>
      <c r="EN200" s="43">
        <f t="shared" si="565"/>
        <v>0</v>
      </c>
      <c r="EO200" s="43">
        <v>214.5</v>
      </c>
      <c r="EP200" s="43">
        <v>0</v>
      </c>
      <c r="EQ200" s="5"/>
      <c r="ER200" s="5"/>
      <c r="ES200" s="5"/>
      <c r="ET200" s="5"/>
      <c r="EU200" s="5">
        <f t="shared" si="442"/>
        <v>0</v>
      </c>
      <c r="EV200" s="5">
        <f t="shared" si="442"/>
        <v>0</v>
      </c>
      <c r="EW200" s="5">
        <v>660</v>
      </c>
      <c r="EY200" s="5">
        <v>690</v>
      </c>
    </row>
    <row r="201" spans="1:162" ht="18.75" x14ac:dyDescent="0.25">
      <c r="A201" s="37">
        <v>13</v>
      </c>
      <c r="B201" s="37"/>
      <c r="C201" s="91" t="s">
        <v>193</v>
      </c>
      <c r="D201" s="38" t="s">
        <v>435</v>
      </c>
      <c r="E201" s="39"/>
      <c r="F201" s="40">
        <v>177.71</v>
      </c>
      <c r="G201" s="40">
        <v>0</v>
      </c>
      <c r="H201" s="40">
        <v>177.71</v>
      </c>
      <c r="I201" s="40">
        <v>0</v>
      </c>
      <c r="J201" s="41">
        <v>222</v>
      </c>
      <c r="K201" s="41">
        <v>0</v>
      </c>
      <c r="L201" s="41">
        <v>0</v>
      </c>
      <c r="M201" s="41">
        <f t="shared" si="566"/>
        <v>222</v>
      </c>
      <c r="N201" s="41">
        <v>0</v>
      </c>
      <c r="O201" s="41">
        <v>0</v>
      </c>
      <c r="P201" s="41">
        <v>0</v>
      </c>
      <c r="Q201" s="41">
        <f t="shared" si="567"/>
        <v>0</v>
      </c>
      <c r="R201" s="41">
        <f t="shared" si="543"/>
        <v>222</v>
      </c>
      <c r="S201" s="41"/>
      <c r="T201" s="92"/>
      <c r="U201" s="92"/>
      <c r="V201" s="40">
        <f t="shared" si="538"/>
        <v>188.07</v>
      </c>
      <c r="W201" s="40">
        <f t="shared" si="539"/>
        <v>0</v>
      </c>
      <c r="X201" s="43">
        <f t="shared" si="529"/>
        <v>33.930000000000007</v>
      </c>
      <c r="Y201" s="43">
        <f t="shared" si="529"/>
        <v>0</v>
      </c>
      <c r="Z201" s="43">
        <v>188.07</v>
      </c>
      <c r="AA201" s="43"/>
      <c r="AB201" s="43">
        <f t="shared" si="547"/>
        <v>188.07</v>
      </c>
      <c r="AC201" s="43">
        <f t="shared" si="548"/>
        <v>0</v>
      </c>
      <c r="AD201" s="43">
        <f t="shared" si="544"/>
        <v>188.07</v>
      </c>
      <c r="AE201" s="43">
        <f t="shared" si="544"/>
        <v>0</v>
      </c>
      <c r="AF201" s="43">
        <f t="shared" si="570"/>
        <v>0</v>
      </c>
      <c r="AG201" s="43">
        <f t="shared" si="530"/>
        <v>47</v>
      </c>
      <c r="AH201" s="43">
        <f t="shared" si="530"/>
        <v>0</v>
      </c>
      <c r="AI201" s="93">
        <f t="shared" si="531"/>
        <v>16</v>
      </c>
      <c r="AJ201" s="43">
        <f t="shared" si="531"/>
        <v>0</v>
      </c>
      <c r="AK201" s="43"/>
      <c r="AL201" s="43"/>
      <c r="AM201" s="43">
        <f t="shared" si="571"/>
        <v>47.02</v>
      </c>
      <c r="AN201" s="43">
        <f t="shared" si="572"/>
        <v>0</v>
      </c>
      <c r="AO201" s="43"/>
      <c r="AP201" s="43"/>
      <c r="AQ201" s="43">
        <f t="shared" si="532"/>
        <v>94.02000000000001</v>
      </c>
      <c r="AR201" s="43">
        <f t="shared" si="532"/>
        <v>0</v>
      </c>
      <c r="AS201" s="43"/>
      <c r="AT201" s="43"/>
      <c r="AU201" s="43">
        <f t="shared" si="424"/>
        <v>47.02</v>
      </c>
      <c r="AV201" s="43">
        <f t="shared" si="424"/>
        <v>0</v>
      </c>
      <c r="AW201" s="43"/>
      <c r="AX201" s="43"/>
      <c r="AY201" s="43">
        <f t="shared" si="520"/>
        <v>157.04000000000002</v>
      </c>
      <c r="AZ201" s="43">
        <f t="shared" si="520"/>
        <v>0</v>
      </c>
      <c r="BA201" s="43">
        <f t="shared" si="521"/>
        <v>157.04000000000002</v>
      </c>
      <c r="BB201" s="60">
        <v>157</v>
      </c>
      <c r="BC201" s="60"/>
      <c r="BD201" s="60">
        <f t="shared" si="522"/>
        <v>4.0000000000020464E-2</v>
      </c>
      <c r="BE201" s="60">
        <f t="shared" si="522"/>
        <v>0</v>
      </c>
      <c r="BF201" s="60">
        <f t="shared" si="523"/>
        <v>31.4</v>
      </c>
      <c r="BG201" s="60">
        <f t="shared" si="523"/>
        <v>0</v>
      </c>
      <c r="BH201" s="43">
        <v>15.68</v>
      </c>
      <c r="BI201" s="43">
        <v>0</v>
      </c>
      <c r="BJ201" s="43"/>
      <c r="BK201" s="43"/>
      <c r="BL201" s="43">
        <f t="shared" si="545"/>
        <v>172.72000000000003</v>
      </c>
      <c r="BM201" s="43">
        <f t="shared" si="545"/>
        <v>0</v>
      </c>
      <c r="BN201" s="43">
        <f t="shared" si="573"/>
        <v>172.72000000000003</v>
      </c>
      <c r="BO201" s="43">
        <v>157</v>
      </c>
      <c r="BP201" s="93"/>
      <c r="BQ201" s="43">
        <f t="shared" si="549"/>
        <v>15.720000000000027</v>
      </c>
      <c r="BR201" s="43">
        <f t="shared" si="549"/>
        <v>0</v>
      </c>
      <c r="BS201" s="43">
        <f t="shared" si="550"/>
        <v>14.27</v>
      </c>
      <c r="BT201" s="43">
        <f t="shared" si="550"/>
        <v>0</v>
      </c>
      <c r="BU201" s="43">
        <f t="shared" si="568"/>
        <v>-1.45</v>
      </c>
      <c r="BV201" s="43">
        <v>0</v>
      </c>
      <c r="BW201" s="43">
        <v>1.41</v>
      </c>
      <c r="BX201" s="43"/>
      <c r="BY201" s="43"/>
      <c r="BZ201" s="43"/>
      <c r="CA201" s="43">
        <v>172.68000000000004</v>
      </c>
      <c r="CB201" s="43">
        <v>0</v>
      </c>
      <c r="CC201" s="92">
        <v>189.95</v>
      </c>
      <c r="CD201" s="92">
        <v>0</v>
      </c>
      <c r="CE201" s="92">
        <v>16</v>
      </c>
      <c r="CF201" s="92">
        <v>0</v>
      </c>
      <c r="CG201" s="92">
        <f t="shared" si="551"/>
        <v>43.17</v>
      </c>
      <c r="CH201" s="92">
        <f t="shared" si="551"/>
        <v>0</v>
      </c>
      <c r="CI201" s="43"/>
      <c r="CJ201" s="43"/>
      <c r="CK201" s="43">
        <v>43</v>
      </c>
      <c r="CL201" s="43">
        <v>0</v>
      </c>
      <c r="CM201" s="43"/>
      <c r="CN201" s="43"/>
      <c r="CO201" s="43">
        <v>225</v>
      </c>
      <c r="CP201" s="43"/>
      <c r="CQ201" s="43">
        <f t="shared" si="552"/>
        <v>172</v>
      </c>
      <c r="CR201" s="43">
        <f t="shared" si="552"/>
        <v>0</v>
      </c>
      <c r="CS201" s="43">
        <f t="shared" si="553"/>
        <v>172</v>
      </c>
      <c r="CT201" s="43">
        <f t="shared" si="553"/>
        <v>0</v>
      </c>
      <c r="CU201" s="43">
        <v>250</v>
      </c>
      <c r="CV201" s="43">
        <v>0</v>
      </c>
      <c r="CW201" s="43">
        <f t="shared" si="554"/>
        <v>62.5</v>
      </c>
      <c r="CX201" s="43">
        <f t="shared" si="554"/>
        <v>0</v>
      </c>
      <c r="CY201" s="43"/>
      <c r="CZ201" s="43"/>
      <c r="DA201" s="43">
        <f t="shared" si="555"/>
        <v>121.5</v>
      </c>
      <c r="DB201" s="43">
        <f t="shared" si="555"/>
        <v>0</v>
      </c>
      <c r="DC201" s="43">
        <v>109.04</v>
      </c>
      <c r="DD201" s="43">
        <v>0</v>
      </c>
      <c r="DE201" s="43">
        <f t="shared" si="556"/>
        <v>12.459999999999994</v>
      </c>
      <c r="DF201" s="43">
        <f t="shared" si="556"/>
        <v>0</v>
      </c>
      <c r="DG201" s="43">
        <f t="shared" si="546"/>
        <v>62.5</v>
      </c>
      <c r="DH201" s="43">
        <f t="shared" si="546"/>
        <v>0</v>
      </c>
      <c r="DI201" s="43">
        <f t="shared" si="557"/>
        <v>50.040000000000006</v>
      </c>
      <c r="DJ201" s="43">
        <f t="shared" si="557"/>
        <v>0</v>
      </c>
      <c r="DK201" s="43"/>
      <c r="DL201" s="43"/>
      <c r="DM201" s="43">
        <f t="shared" si="558"/>
        <v>171.54000000000002</v>
      </c>
      <c r="DN201" s="43">
        <f t="shared" si="558"/>
        <v>0</v>
      </c>
      <c r="DO201" s="94">
        <v>171.48</v>
      </c>
      <c r="DP201" s="95">
        <v>0</v>
      </c>
      <c r="DQ201" s="60">
        <f t="shared" si="559"/>
        <v>0.06</v>
      </c>
      <c r="DR201" s="60">
        <f t="shared" si="559"/>
        <v>0</v>
      </c>
      <c r="DS201" s="60">
        <f t="shared" si="560"/>
        <v>17.148</v>
      </c>
      <c r="DT201" s="60">
        <f t="shared" si="560"/>
        <v>0</v>
      </c>
      <c r="DU201" s="60">
        <f t="shared" si="561"/>
        <v>17.088000000000001</v>
      </c>
      <c r="DV201" s="60">
        <f t="shared" si="561"/>
        <v>0</v>
      </c>
      <c r="DW201" s="60"/>
      <c r="DX201" s="60"/>
      <c r="DY201" s="60">
        <f t="shared" si="569"/>
        <v>17.09</v>
      </c>
      <c r="DZ201" s="60">
        <f t="shared" si="569"/>
        <v>0</v>
      </c>
      <c r="EA201" s="60"/>
      <c r="EB201" s="60"/>
      <c r="EC201" s="43">
        <f t="shared" si="562"/>
        <v>188.63000000000002</v>
      </c>
      <c r="ED201" s="43">
        <f t="shared" si="562"/>
        <v>0</v>
      </c>
      <c r="EE201" s="43">
        <v>166.5</v>
      </c>
      <c r="EF201" s="43">
        <v>0</v>
      </c>
      <c r="EG201" s="43">
        <f t="shared" si="423"/>
        <v>88.27</v>
      </c>
      <c r="EH201" s="43" t="e">
        <f t="shared" si="423"/>
        <v>#DIV/0!</v>
      </c>
      <c r="EI201" s="43">
        <f t="shared" si="563"/>
        <v>22.13</v>
      </c>
      <c r="EJ201" s="43">
        <f t="shared" si="563"/>
        <v>0</v>
      </c>
      <c r="EK201" s="43">
        <f t="shared" si="564"/>
        <v>15.14</v>
      </c>
      <c r="EL201" s="43">
        <f t="shared" si="564"/>
        <v>0</v>
      </c>
      <c r="EM201" s="43">
        <f t="shared" si="565"/>
        <v>-6.9899999999999984</v>
      </c>
      <c r="EN201" s="43">
        <f t="shared" si="565"/>
        <v>0</v>
      </c>
      <c r="EO201" s="43">
        <v>61.37</v>
      </c>
      <c r="EP201" s="43">
        <v>0</v>
      </c>
      <c r="EQ201" s="5"/>
      <c r="ER201" s="5"/>
      <c r="ES201" s="5"/>
      <c r="ET201" s="5"/>
      <c r="EU201" s="5">
        <f t="shared" si="442"/>
        <v>0</v>
      </c>
      <c r="EV201" s="5">
        <f t="shared" si="442"/>
        <v>0</v>
      </c>
      <c r="EW201" s="5">
        <v>250</v>
      </c>
      <c r="EY201" s="5">
        <v>211.2</v>
      </c>
    </row>
    <row r="202" spans="1:162" ht="18.75" x14ac:dyDescent="0.25">
      <c r="A202" s="37">
        <v>14</v>
      </c>
      <c r="B202" s="37"/>
      <c r="C202" s="91" t="s">
        <v>193</v>
      </c>
      <c r="D202" s="38" t="s">
        <v>436</v>
      </c>
      <c r="E202" s="39"/>
      <c r="F202" s="40">
        <v>593.29000000000008</v>
      </c>
      <c r="G202" s="40">
        <v>0</v>
      </c>
      <c r="H202" s="40">
        <v>593.29000000000008</v>
      </c>
      <c r="I202" s="40">
        <v>0</v>
      </c>
      <c r="J202" s="41">
        <v>831.31</v>
      </c>
      <c r="K202" s="41">
        <v>0</v>
      </c>
      <c r="L202" s="41">
        <v>0</v>
      </c>
      <c r="M202" s="41">
        <f t="shared" si="566"/>
        <v>831.31</v>
      </c>
      <c r="N202" s="41">
        <v>0</v>
      </c>
      <c r="O202" s="41">
        <v>0</v>
      </c>
      <c r="P202" s="41">
        <v>0</v>
      </c>
      <c r="Q202" s="41">
        <f t="shared" si="567"/>
        <v>0</v>
      </c>
      <c r="R202" s="41">
        <f t="shared" si="543"/>
        <v>831.31</v>
      </c>
      <c r="S202" s="41"/>
      <c r="T202" s="92"/>
      <c r="U202" s="92"/>
      <c r="V202" s="40">
        <f t="shared" si="538"/>
        <v>627.88</v>
      </c>
      <c r="W202" s="40">
        <f t="shared" si="539"/>
        <v>0</v>
      </c>
      <c r="X202" s="43">
        <f t="shared" si="529"/>
        <v>203.42999999999995</v>
      </c>
      <c r="Y202" s="43">
        <f t="shared" si="529"/>
        <v>0</v>
      </c>
      <c r="Z202" s="43">
        <v>627.88</v>
      </c>
      <c r="AA202" s="43"/>
      <c r="AB202" s="43">
        <f t="shared" si="547"/>
        <v>627.88</v>
      </c>
      <c r="AC202" s="43">
        <f t="shared" si="548"/>
        <v>0</v>
      </c>
      <c r="AD202" s="43">
        <f t="shared" si="544"/>
        <v>627.88</v>
      </c>
      <c r="AE202" s="43">
        <f t="shared" si="544"/>
        <v>0</v>
      </c>
      <c r="AF202" s="43">
        <f t="shared" si="570"/>
        <v>0</v>
      </c>
      <c r="AG202" s="43">
        <f t="shared" si="530"/>
        <v>157</v>
      </c>
      <c r="AH202" s="43">
        <f t="shared" si="530"/>
        <v>0</v>
      </c>
      <c r="AI202" s="93">
        <f t="shared" si="531"/>
        <v>52</v>
      </c>
      <c r="AJ202" s="43">
        <f t="shared" si="531"/>
        <v>0</v>
      </c>
      <c r="AK202" s="43"/>
      <c r="AL202" s="43"/>
      <c r="AM202" s="43">
        <f t="shared" si="571"/>
        <v>156.97</v>
      </c>
      <c r="AN202" s="43">
        <f t="shared" si="572"/>
        <v>0</v>
      </c>
      <c r="AO202" s="43"/>
      <c r="AP202" s="43"/>
      <c r="AQ202" s="43">
        <f t="shared" si="532"/>
        <v>313.97000000000003</v>
      </c>
      <c r="AR202" s="43">
        <f t="shared" si="532"/>
        <v>0</v>
      </c>
      <c r="AS202" s="43"/>
      <c r="AT202" s="43"/>
      <c r="AU202" s="43">
        <f t="shared" si="424"/>
        <v>156.97</v>
      </c>
      <c r="AV202" s="43">
        <f t="shared" si="424"/>
        <v>0</v>
      </c>
      <c r="AW202" s="43"/>
      <c r="AX202" s="43"/>
      <c r="AY202" s="43">
        <f t="shared" si="520"/>
        <v>522.94000000000005</v>
      </c>
      <c r="AZ202" s="43">
        <f t="shared" si="520"/>
        <v>0</v>
      </c>
      <c r="BA202" s="43">
        <f t="shared" si="521"/>
        <v>522.94000000000005</v>
      </c>
      <c r="BB202" s="60">
        <v>522.94000000000005</v>
      </c>
      <c r="BC202" s="60"/>
      <c r="BD202" s="60">
        <f t="shared" si="522"/>
        <v>0</v>
      </c>
      <c r="BE202" s="60">
        <f t="shared" si="522"/>
        <v>0</v>
      </c>
      <c r="BF202" s="60">
        <f t="shared" si="523"/>
        <v>104.59</v>
      </c>
      <c r="BG202" s="60">
        <f t="shared" si="523"/>
        <v>0</v>
      </c>
      <c r="BH202" s="43">
        <v>52.3</v>
      </c>
      <c r="BI202" s="43">
        <v>0</v>
      </c>
      <c r="BJ202" s="43"/>
      <c r="BK202" s="43"/>
      <c r="BL202" s="43">
        <f t="shared" si="545"/>
        <v>575.24</v>
      </c>
      <c r="BM202" s="43">
        <f t="shared" si="545"/>
        <v>0</v>
      </c>
      <c r="BN202" s="43">
        <f t="shared" si="573"/>
        <v>575.24</v>
      </c>
      <c r="BO202" s="43">
        <v>522.94000000000005</v>
      </c>
      <c r="BP202" s="93"/>
      <c r="BQ202" s="43">
        <f t="shared" si="549"/>
        <v>52.299999999999955</v>
      </c>
      <c r="BR202" s="43">
        <f t="shared" si="549"/>
        <v>0</v>
      </c>
      <c r="BS202" s="43">
        <f t="shared" si="550"/>
        <v>47.54</v>
      </c>
      <c r="BT202" s="43">
        <f t="shared" si="550"/>
        <v>0</v>
      </c>
      <c r="BU202" s="43">
        <f t="shared" si="568"/>
        <v>-4.76</v>
      </c>
      <c r="BV202" s="43">
        <v>0</v>
      </c>
      <c r="BW202" s="43">
        <v>228</v>
      </c>
      <c r="BX202" s="43"/>
      <c r="BY202" s="43"/>
      <c r="BZ202" s="43"/>
      <c r="CA202" s="43">
        <v>798.48</v>
      </c>
      <c r="CB202" s="43">
        <v>0</v>
      </c>
      <c r="CC202" s="92">
        <v>878.33</v>
      </c>
      <c r="CD202" s="92">
        <v>0</v>
      </c>
      <c r="CE202" s="92">
        <v>73</v>
      </c>
      <c r="CF202" s="92">
        <v>0</v>
      </c>
      <c r="CG202" s="92">
        <f t="shared" si="551"/>
        <v>199.62</v>
      </c>
      <c r="CH202" s="92">
        <f t="shared" si="551"/>
        <v>0</v>
      </c>
      <c r="CI202" s="43"/>
      <c r="CJ202" s="43"/>
      <c r="CK202" s="43">
        <v>160</v>
      </c>
      <c r="CL202" s="43">
        <v>0</v>
      </c>
      <c r="CM202" s="43"/>
      <c r="CN202" s="43"/>
      <c r="CO202" s="43">
        <v>904.39</v>
      </c>
      <c r="CP202" s="43"/>
      <c r="CQ202" s="43">
        <f t="shared" si="552"/>
        <v>640</v>
      </c>
      <c r="CR202" s="43">
        <f t="shared" si="552"/>
        <v>0</v>
      </c>
      <c r="CS202" s="43">
        <f t="shared" si="553"/>
        <v>640</v>
      </c>
      <c r="CT202" s="43">
        <f t="shared" si="553"/>
        <v>0</v>
      </c>
      <c r="CU202" s="43">
        <v>1006.5</v>
      </c>
      <c r="CV202" s="43">
        <v>0</v>
      </c>
      <c r="CW202" s="43">
        <f t="shared" si="554"/>
        <v>251.63</v>
      </c>
      <c r="CX202" s="43">
        <f t="shared" si="554"/>
        <v>0</v>
      </c>
      <c r="CY202" s="43"/>
      <c r="CZ202" s="43"/>
      <c r="DA202" s="43">
        <f t="shared" si="555"/>
        <v>484.63</v>
      </c>
      <c r="DB202" s="43">
        <f t="shared" si="555"/>
        <v>0</v>
      </c>
      <c r="DC202" s="43">
        <v>484.63</v>
      </c>
      <c r="DD202" s="43">
        <v>0</v>
      </c>
      <c r="DE202" s="43">
        <f t="shared" si="556"/>
        <v>0</v>
      </c>
      <c r="DF202" s="43">
        <f t="shared" si="556"/>
        <v>0</v>
      </c>
      <c r="DG202" s="43">
        <f t="shared" si="546"/>
        <v>251.63</v>
      </c>
      <c r="DH202" s="43">
        <f t="shared" si="546"/>
        <v>0</v>
      </c>
      <c r="DI202" s="43">
        <f t="shared" si="557"/>
        <v>251.63</v>
      </c>
      <c r="DJ202" s="43">
        <f t="shared" si="557"/>
        <v>0</v>
      </c>
      <c r="DK202" s="43"/>
      <c r="DL202" s="43"/>
      <c r="DM202" s="43">
        <f t="shared" si="558"/>
        <v>736.26</v>
      </c>
      <c r="DN202" s="43">
        <f t="shared" si="558"/>
        <v>0</v>
      </c>
      <c r="DO202" s="94">
        <v>736.26</v>
      </c>
      <c r="DP202" s="95">
        <v>0</v>
      </c>
      <c r="DQ202" s="60">
        <f t="shared" si="559"/>
        <v>0</v>
      </c>
      <c r="DR202" s="60">
        <f t="shared" si="559"/>
        <v>0</v>
      </c>
      <c r="DS202" s="60">
        <f t="shared" si="560"/>
        <v>73.626000000000005</v>
      </c>
      <c r="DT202" s="60">
        <f t="shared" si="560"/>
        <v>0</v>
      </c>
      <c r="DU202" s="60">
        <f t="shared" si="561"/>
        <v>73.626000000000005</v>
      </c>
      <c r="DV202" s="60">
        <f t="shared" si="561"/>
        <v>0</v>
      </c>
      <c r="DW202" s="60"/>
      <c r="DX202" s="60"/>
      <c r="DY202" s="60">
        <f t="shared" si="569"/>
        <v>73.63</v>
      </c>
      <c r="DZ202" s="60">
        <f t="shared" si="569"/>
        <v>0</v>
      </c>
      <c r="EA202" s="60"/>
      <c r="EB202" s="60"/>
      <c r="EC202" s="43">
        <f t="shared" si="562"/>
        <v>809.89</v>
      </c>
      <c r="ED202" s="43">
        <f t="shared" si="562"/>
        <v>0</v>
      </c>
      <c r="EE202" s="43">
        <v>736.26</v>
      </c>
      <c r="EF202" s="43">
        <v>0</v>
      </c>
      <c r="EG202" s="43">
        <f t="shared" si="423"/>
        <v>90.91</v>
      </c>
      <c r="EH202" s="43" t="e">
        <f t="shared" si="423"/>
        <v>#DIV/0!</v>
      </c>
      <c r="EI202" s="43">
        <f t="shared" si="563"/>
        <v>73.63</v>
      </c>
      <c r="EJ202" s="43">
        <f t="shared" si="563"/>
        <v>0</v>
      </c>
      <c r="EK202" s="43">
        <f t="shared" si="564"/>
        <v>66.930000000000007</v>
      </c>
      <c r="EL202" s="43">
        <f t="shared" si="564"/>
        <v>0</v>
      </c>
      <c r="EM202" s="43">
        <f t="shared" si="565"/>
        <v>-6.6999999999999886</v>
      </c>
      <c r="EN202" s="43">
        <f t="shared" si="565"/>
        <v>0</v>
      </c>
      <c r="EO202" s="43">
        <v>196.61</v>
      </c>
      <c r="EP202" s="43">
        <v>0</v>
      </c>
      <c r="EQ202" s="5"/>
      <c r="ER202" s="5"/>
      <c r="ES202" s="5"/>
      <c r="ET202" s="5"/>
      <c r="EU202" s="5">
        <f t="shared" si="442"/>
        <v>0</v>
      </c>
      <c r="EV202" s="5">
        <f t="shared" si="442"/>
        <v>0</v>
      </c>
      <c r="EW202" s="49">
        <v>1006.5</v>
      </c>
      <c r="EY202" s="5">
        <v>1149.8699999999999</v>
      </c>
    </row>
    <row r="203" spans="1:162" ht="18.75" x14ac:dyDescent="0.25">
      <c r="A203" s="37">
        <v>15</v>
      </c>
      <c r="B203" s="37"/>
      <c r="C203" s="91" t="s">
        <v>193</v>
      </c>
      <c r="D203" s="38" t="s">
        <v>437</v>
      </c>
      <c r="E203" s="39"/>
      <c r="F203" s="40">
        <v>393.44</v>
      </c>
      <c r="G203" s="40">
        <v>0</v>
      </c>
      <c r="H203" s="40">
        <v>393.44</v>
      </c>
      <c r="I203" s="40">
        <v>0</v>
      </c>
      <c r="J203" s="41">
        <v>686.25</v>
      </c>
      <c r="K203" s="41">
        <v>0</v>
      </c>
      <c r="L203" s="41">
        <v>0</v>
      </c>
      <c r="M203" s="41">
        <f t="shared" si="566"/>
        <v>686.25</v>
      </c>
      <c r="N203" s="41">
        <v>0</v>
      </c>
      <c r="O203" s="41">
        <v>0</v>
      </c>
      <c r="P203" s="41">
        <v>0</v>
      </c>
      <c r="Q203" s="41">
        <f t="shared" si="567"/>
        <v>0</v>
      </c>
      <c r="R203" s="41">
        <f t="shared" si="543"/>
        <v>686.25</v>
      </c>
      <c r="S203" s="41"/>
      <c r="T203" s="92"/>
      <c r="U203" s="92"/>
      <c r="V203" s="40">
        <f t="shared" si="538"/>
        <v>416.38</v>
      </c>
      <c r="W203" s="40">
        <f t="shared" si="539"/>
        <v>0</v>
      </c>
      <c r="X203" s="43">
        <f t="shared" si="529"/>
        <v>269.87</v>
      </c>
      <c r="Y203" s="43">
        <f t="shared" si="529"/>
        <v>0</v>
      </c>
      <c r="Z203" s="43">
        <v>416.38</v>
      </c>
      <c r="AA203" s="43"/>
      <c r="AB203" s="43">
        <f t="shared" si="547"/>
        <v>416.38</v>
      </c>
      <c r="AC203" s="43">
        <f t="shared" si="548"/>
        <v>0</v>
      </c>
      <c r="AD203" s="43">
        <f t="shared" si="544"/>
        <v>416.38</v>
      </c>
      <c r="AE203" s="43">
        <f t="shared" si="544"/>
        <v>0</v>
      </c>
      <c r="AF203" s="43">
        <f t="shared" si="570"/>
        <v>0</v>
      </c>
      <c r="AG203" s="43">
        <f t="shared" si="530"/>
        <v>104</v>
      </c>
      <c r="AH203" s="43">
        <f t="shared" si="530"/>
        <v>0</v>
      </c>
      <c r="AI203" s="93">
        <f t="shared" si="531"/>
        <v>35</v>
      </c>
      <c r="AJ203" s="43">
        <f t="shared" si="531"/>
        <v>0</v>
      </c>
      <c r="AK203" s="43"/>
      <c r="AL203" s="43"/>
      <c r="AM203" s="43">
        <f t="shared" si="571"/>
        <v>104.1</v>
      </c>
      <c r="AN203" s="43">
        <f t="shared" si="572"/>
        <v>0</v>
      </c>
      <c r="AO203" s="43"/>
      <c r="AP203" s="43"/>
      <c r="AQ203" s="43">
        <f t="shared" si="532"/>
        <v>208.1</v>
      </c>
      <c r="AR203" s="43">
        <f t="shared" si="532"/>
        <v>0</v>
      </c>
      <c r="AS203" s="43"/>
      <c r="AT203" s="43"/>
      <c r="AU203" s="43">
        <f t="shared" si="424"/>
        <v>104.1</v>
      </c>
      <c r="AV203" s="43">
        <f t="shared" si="424"/>
        <v>0</v>
      </c>
      <c r="AW203" s="43"/>
      <c r="AX203" s="43"/>
      <c r="AY203" s="43">
        <f t="shared" si="520"/>
        <v>347.2</v>
      </c>
      <c r="AZ203" s="43">
        <f t="shared" si="520"/>
        <v>0</v>
      </c>
      <c r="BA203" s="43">
        <f t="shared" si="521"/>
        <v>347.2</v>
      </c>
      <c r="BB203" s="60">
        <v>347.2</v>
      </c>
      <c r="BC203" s="60"/>
      <c r="BD203" s="60">
        <f t="shared" si="522"/>
        <v>0</v>
      </c>
      <c r="BE203" s="60">
        <f t="shared" si="522"/>
        <v>0</v>
      </c>
      <c r="BF203" s="60">
        <f t="shared" si="523"/>
        <v>69.44</v>
      </c>
      <c r="BG203" s="60">
        <f t="shared" si="523"/>
        <v>0</v>
      </c>
      <c r="BH203" s="43">
        <v>34.72</v>
      </c>
      <c r="BI203" s="43">
        <v>0</v>
      </c>
      <c r="BJ203" s="43"/>
      <c r="BK203" s="43"/>
      <c r="BL203" s="43">
        <f t="shared" si="545"/>
        <v>381.91999999999996</v>
      </c>
      <c r="BM203" s="43">
        <f t="shared" si="545"/>
        <v>0</v>
      </c>
      <c r="BN203" s="43">
        <f t="shared" si="573"/>
        <v>381.91999999999996</v>
      </c>
      <c r="BO203" s="43">
        <v>347.2</v>
      </c>
      <c r="BP203" s="93"/>
      <c r="BQ203" s="43">
        <f t="shared" si="549"/>
        <v>34.71999999999997</v>
      </c>
      <c r="BR203" s="43">
        <f t="shared" si="549"/>
        <v>0</v>
      </c>
      <c r="BS203" s="43">
        <f t="shared" si="550"/>
        <v>31.56</v>
      </c>
      <c r="BT203" s="43">
        <f t="shared" si="550"/>
        <v>0</v>
      </c>
      <c r="BU203" s="43">
        <f t="shared" si="568"/>
        <v>-3.16</v>
      </c>
      <c r="BV203" s="43">
        <v>0</v>
      </c>
      <c r="BW203" s="43">
        <v>60.72</v>
      </c>
      <c r="BX203" s="43"/>
      <c r="BY203" s="43"/>
      <c r="BZ203" s="43"/>
      <c r="CA203" s="43">
        <v>439.4799999999999</v>
      </c>
      <c r="CB203" s="43">
        <v>0</v>
      </c>
      <c r="CC203" s="92">
        <v>483.43</v>
      </c>
      <c r="CD203" s="92">
        <v>0</v>
      </c>
      <c r="CE203" s="92">
        <v>40</v>
      </c>
      <c r="CF203" s="92">
        <v>0</v>
      </c>
      <c r="CG203" s="92">
        <f t="shared" si="551"/>
        <v>109.87</v>
      </c>
      <c r="CH203" s="92">
        <f t="shared" si="551"/>
        <v>0</v>
      </c>
      <c r="CI203" s="43"/>
      <c r="CJ203" s="43"/>
      <c r="CK203" s="43">
        <v>102</v>
      </c>
      <c r="CL203" s="43">
        <v>0</v>
      </c>
      <c r="CM203" s="43"/>
      <c r="CN203" s="43"/>
      <c r="CO203" s="43">
        <v>571.5</v>
      </c>
      <c r="CP203" s="43"/>
      <c r="CQ203" s="43">
        <f t="shared" si="552"/>
        <v>408</v>
      </c>
      <c r="CR203" s="43">
        <f t="shared" si="552"/>
        <v>0</v>
      </c>
      <c r="CS203" s="43">
        <f t="shared" si="553"/>
        <v>408</v>
      </c>
      <c r="CT203" s="43">
        <f t="shared" si="553"/>
        <v>0</v>
      </c>
      <c r="CU203" s="43">
        <v>571.5</v>
      </c>
      <c r="CV203" s="43">
        <v>0</v>
      </c>
      <c r="CW203" s="43">
        <f t="shared" si="554"/>
        <v>142.88</v>
      </c>
      <c r="CX203" s="43">
        <f t="shared" si="554"/>
        <v>0</v>
      </c>
      <c r="CY203" s="43"/>
      <c r="CZ203" s="43"/>
      <c r="DA203" s="43">
        <f t="shared" si="555"/>
        <v>284.88</v>
      </c>
      <c r="DB203" s="43">
        <f t="shared" si="555"/>
        <v>0</v>
      </c>
      <c r="DC203" s="43">
        <v>284.88</v>
      </c>
      <c r="DD203" s="43">
        <v>0</v>
      </c>
      <c r="DE203" s="43">
        <f t="shared" si="556"/>
        <v>0</v>
      </c>
      <c r="DF203" s="43">
        <f t="shared" si="556"/>
        <v>0</v>
      </c>
      <c r="DG203" s="43">
        <f t="shared" si="546"/>
        <v>142.88</v>
      </c>
      <c r="DH203" s="43">
        <f t="shared" si="546"/>
        <v>0</v>
      </c>
      <c r="DI203" s="43">
        <f t="shared" si="557"/>
        <v>142.88</v>
      </c>
      <c r="DJ203" s="43">
        <f t="shared" si="557"/>
        <v>0</v>
      </c>
      <c r="DK203" s="43"/>
      <c r="DL203" s="43"/>
      <c r="DM203" s="43">
        <f t="shared" si="558"/>
        <v>427.76</v>
      </c>
      <c r="DN203" s="43">
        <f t="shared" si="558"/>
        <v>0</v>
      </c>
      <c r="DO203" s="94">
        <v>427.76</v>
      </c>
      <c r="DP203" s="95">
        <v>0</v>
      </c>
      <c r="DQ203" s="60">
        <f t="shared" si="559"/>
        <v>0</v>
      </c>
      <c r="DR203" s="60">
        <f t="shared" si="559"/>
        <v>0</v>
      </c>
      <c r="DS203" s="60">
        <f t="shared" si="560"/>
        <v>42.775999999999996</v>
      </c>
      <c r="DT203" s="60">
        <f t="shared" si="560"/>
        <v>0</v>
      </c>
      <c r="DU203" s="60">
        <f t="shared" si="561"/>
        <v>42.775999999999996</v>
      </c>
      <c r="DV203" s="60">
        <f t="shared" si="561"/>
        <v>0</v>
      </c>
      <c r="DW203" s="60"/>
      <c r="DX203" s="60"/>
      <c r="DY203" s="60">
        <f t="shared" si="569"/>
        <v>42.78</v>
      </c>
      <c r="DZ203" s="60">
        <f t="shared" si="569"/>
        <v>0</v>
      </c>
      <c r="EA203" s="60"/>
      <c r="EB203" s="60"/>
      <c r="EC203" s="43">
        <f t="shared" si="562"/>
        <v>470.53999999999996</v>
      </c>
      <c r="ED203" s="43">
        <f t="shared" si="562"/>
        <v>0</v>
      </c>
      <c r="EE203" s="43">
        <v>470.54</v>
      </c>
      <c r="EF203" s="43">
        <v>0</v>
      </c>
      <c r="EG203" s="43">
        <f t="shared" si="423"/>
        <v>100</v>
      </c>
      <c r="EH203" s="43" t="e">
        <f t="shared" si="423"/>
        <v>#DIV/0!</v>
      </c>
      <c r="EI203" s="43">
        <f t="shared" si="563"/>
        <v>0</v>
      </c>
      <c r="EJ203" s="43">
        <f t="shared" si="563"/>
        <v>0</v>
      </c>
      <c r="EK203" s="43">
        <f t="shared" si="564"/>
        <v>42.78</v>
      </c>
      <c r="EL203" s="43">
        <f t="shared" si="564"/>
        <v>0</v>
      </c>
      <c r="EM203" s="43">
        <f t="shared" si="565"/>
        <v>42.78</v>
      </c>
      <c r="EN203" s="43">
        <f t="shared" si="565"/>
        <v>0</v>
      </c>
      <c r="EO203" s="43">
        <v>100.96</v>
      </c>
      <c r="EP203" s="43">
        <v>0</v>
      </c>
      <c r="EQ203" s="5"/>
      <c r="ER203" s="5"/>
      <c r="ES203" s="5"/>
      <c r="ET203" s="5"/>
      <c r="EU203" s="5">
        <f t="shared" si="442"/>
        <v>0</v>
      </c>
      <c r="EV203" s="5">
        <f t="shared" si="442"/>
        <v>0</v>
      </c>
      <c r="EW203" s="5">
        <v>571.5</v>
      </c>
      <c r="EY203" s="5">
        <v>630</v>
      </c>
    </row>
    <row r="204" spans="1:162" ht="18.75" x14ac:dyDescent="0.25">
      <c r="A204" s="37">
        <v>16</v>
      </c>
      <c r="B204" s="37"/>
      <c r="C204" s="91" t="s">
        <v>193</v>
      </c>
      <c r="D204" s="38" t="s">
        <v>438</v>
      </c>
      <c r="E204" s="39"/>
      <c r="F204" s="40">
        <v>0</v>
      </c>
      <c r="G204" s="40">
        <v>0</v>
      </c>
      <c r="H204" s="40">
        <v>0</v>
      </c>
      <c r="I204" s="40">
        <v>0</v>
      </c>
      <c r="J204" s="41">
        <v>0</v>
      </c>
      <c r="K204" s="41">
        <v>0</v>
      </c>
      <c r="L204" s="41">
        <v>0</v>
      </c>
      <c r="M204" s="41">
        <f t="shared" si="566"/>
        <v>0</v>
      </c>
      <c r="N204" s="41">
        <v>0</v>
      </c>
      <c r="O204" s="41">
        <v>0</v>
      </c>
      <c r="P204" s="41">
        <v>0</v>
      </c>
      <c r="Q204" s="41">
        <f t="shared" si="567"/>
        <v>0</v>
      </c>
      <c r="R204" s="41">
        <f t="shared" si="543"/>
        <v>0</v>
      </c>
      <c r="S204" s="41"/>
      <c r="T204" s="92"/>
      <c r="U204" s="92"/>
      <c r="V204" s="40">
        <f t="shared" si="538"/>
        <v>0</v>
      </c>
      <c r="W204" s="40">
        <f t="shared" si="539"/>
        <v>0</v>
      </c>
      <c r="X204" s="43">
        <f t="shared" si="529"/>
        <v>0</v>
      </c>
      <c r="Y204" s="43">
        <f t="shared" si="529"/>
        <v>0</v>
      </c>
      <c r="Z204" s="43"/>
      <c r="AA204" s="43"/>
      <c r="AB204" s="43">
        <f t="shared" si="547"/>
        <v>0</v>
      </c>
      <c r="AC204" s="43">
        <f t="shared" si="548"/>
        <v>0</v>
      </c>
      <c r="AD204" s="43">
        <f t="shared" si="544"/>
        <v>0</v>
      </c>
      <c r="AE204" s="43">
        <f t="shared" si="544"/>
        <v>0</v>
      </c>
      <c r="AF204" s="43">
        <f t="shared" si="570"/>
        <v>0</v>
      </c>
      <c r="AG204" s="43">
        <f t="shared" si="530"/>
        <v>0</v>
      </c>
      <c r="AH204" s="43">
        <f t="shared" si="530"/>
        <v>0</v>
      </c>
      <c r="AI204" s="93">
        <f t="shared" si="531"/>
        <v>0</v>
      </c>
      <c r="AJ204" s="43">
        <f t="shared" si="531"/>
        <v>0</v>
      </c>
      <c r="AK204" s="43"/>
      <c r="AL204" s="43"/>
      <c r="AM204" s="43">
        <f t="shared" si="571"/>
        <v>0</v>
      </c>
      <c r="AN204" s="43">
        <f t="shared" si="572"/>
        <v>0</v>
      </c>
      <c r="AO204" s="43"/>
      <c r="AP204" s="43"/>
      <c r="AQ204" s="43">
        <f t="shared" si="532"/>
        <v>0</v>
      </c>
      <c r="AR204" s="43">
        <f t="shared" si="532"/>
        <v>0</v>
      </c>
      <c r="AS204" s="43"/>
      <c r="AT204" s="43"/>
      <c r="AU204" s="43">
        <f t="shared" si="424"/>
        <v>0</v>
      </c>
      <c r="AV204" s="43">
        <f t="shared" si="424"/>
        <v>0</v>
      </c>
      <c r="AW204" s="43"/>
      <c r="AX204" s="43"/>
      <c r="AY204" s="43">
        <f t="shared" si="520"/>
        <v>0</v>
      </c>
      <c r="AZ204" s="43">
        <f t="shared" si="520"/>
        <v>0</v>
      </c>
      <c r="BA204" s="43">
        <f t="shared" si="521"/>
        <v>0</v>
      </c>
      <c r="BB204" s="60">
        <v>0</v>
      </c>
      <c r="BC204" s="60"/>
      <c r="BD204" s="60">
        <f t="shared" si="522"/>
        <v>0</v>
      </c>
      <c r="BE204" s="60">
        <f t="shared" si="522"/>
        <v>0</v>
      </c>
      <c r="BF204" s="60">
        <f t="shared" si="523"/>
        <v>0</v>
      </c>
      <c r="BG204" s="60">
        <f t="shared" si="523"/>
        <v>0</v>
      </c>
      <c r="BH204" s="43">
        <v>0</v>
      </c>
      <c r="BI204" s="43">
        <v>0</v>
      </c>
      <c r="BJ204" s="43"/>
      <c r="BK204" s="43"/>
      <c r="BL204" s="43">
        <f t="shared" si="545"/>
        <v>0</v>
      </c>
      <c r="BM204" s="43">
        <f t="shared" si="545"/>
        <v>0</v>
      </c>
      <c r="BN204" s="43">
        <f t="shared" si="573"/>
        <v>0</v>
      </c>
      <c r="BO204" s="43">
        <v>0</v>
      </c>
      <c r="BP204" s="93"/>
      <c r="BQ204" s="43">
        <f t="shared" si="549"/>
        <v>0</v>
      </c>
      <c r="BR204" s="43">
        <f t="shared" si="549"/>
        <v>0</v>
      </c>
      <c r="BS204" s="43">
        <f t="shared" si="550"/>
        <v>0</v>
      </c>
      <c r="BT204" s="43">
        <f t="shared" si="550"/>
        <v>0</v>
      </c>
      <c r="BU204" s="43">
        <f>ROUND(BS204-BQ204,2)</f>
        <v>0</v>
      </c>
      <c r="BV204" s="43">
        <v>0</v>
      </c>
      <c r="BW204" s="43"/>
      <c r="BX204" s="43"/>
      <c r="BY204" s="43"/>
      <c r="BZ204" s="43"/>
      <c r="CA204" s="43">
        <v>0</v>
      </c>
      <c r="CB204" s="43">
        <v>0</v>
      </c>
      <c r="CC204" s="92">
        <v>0</v>
      </c>
      <c r="CD204" s="92">
        <v>0</v>
      </c>
      <c r="CE204" s="92">
        <v>0</v>
      </c>
      <c r="CF204" s="92">
        <v>0</v>
      </c>
      <c r="CG204" s="92">
        <f t="shared" si="551"/>
        <v>0</v>
      </c>
      <c r="CH204" s="92">
        <f t="shared" si="551"/>
        <v>0</v>
      </c>
      <c r="CI204" s="43"/>
      <c r="CJ204" s="43"/>
      <c r="CK204" s="43">
        <v>0</v>
      </c>
      <c r="CL204" s="43">
        <v>0</v>
      </c>
      <c r="CM204" s="43"/>
      <c r="CN204" s="43"/>
      <c r="CO204" s="43"/>
      <c r="CP204" s="43"/>
      <c r="CQ204" s="43">
        <f t="shared" si="552"/>
        <v>0</v>
      </c>
      <c r="CR204" s="43">
        <f t="shared" si="552"/>
        <v>0</v>
      </c>
      <c r="CS204" s="43">
        <f t="shared" si="553"/>
        <v>0</v>
      </c>
      <c r="CT204" s="43">
        <f t="shared" si="553"/>
        <v>0</v>
      </c>
      <c r="CU204" s="43">
        <v>0</v>
      </c>
      <c r="CV204" s="43">
        <v>0</v>
      </c>
      <c r="CW204" s="43">
        <f t="shared" si="554"/>
        <v>0</v>
      </c>
      <c r="CX204" s="43">
        <f t="shared" si="554"/>
        <v>0</v>
      </c>
      <c r="CY204" s="43"/>
      <c r="CZ204" s="43"/>
      <c r="DA204" s="43">
        <f t="shared" si="555"/>
        <v>0</v>
      </c>
      <c r="DB204" s="43">
        <f t="shared" si="555"/>
        <v>0</v>
      </c>
      <c r="DC204" s="43">
        <v>0</v>
      </c>
      <c r="DD204" s="43">
        <v>0</v>
      </c>
      <c r="DE204" s="43">
        <f t="shared" si="556"/>
        <v>0</v>
      </c>
      <c r="DF204" s="43">
        <f t="shared" si="556"/>
        <v>0</v>
      </c>
      <c r="DG204" s="43">
        <f t="shared" si="546"/>
        <v>0</v>
      </c>
      <c r="DH204" s="43">
        <f t="shared" si="546"/>
        <v>0</v>
      </c>
      <c r="DI204" s="43">
        <f t="shared" si="557"/>
        <v>0</v>
      </c>
      <c r="DJ204" s="43">
        <f t="shared" si="557"/>
        <v>0</v>
      </c>
      <c r="DK204" s="43"/>
      <c r="DL204" s="43"/>
      <c r="DM204" s="43">
        <f t="shared" si="558"/>
        <v>0</v>
      </c>
      <c r="DN204" s="43">
        <f t="shared" si="558"/>
        <v>0</v>
      </c>
      <c r="DO204" s="104">
        <v>0</v>
      </c>
      <c r="DP204" s="103">
        <v>0</v>
      </c>
      <c r="DQ204" s="60">
        <f t="shared" si="559"/>
        <v>0</v>
      </c>
      <c r="DR204" s="60">
        <f t="shared" si="559"/>
        <v>0</v>
      </c>
      <c r="DS204" s="60">
        <f t="shared" si="560"/>
        <v>0</v>
      </c>
      <c r="DT204" s="60">
        <f t="shared" si="560"/>
        <v>0</v>
      </c>
      <c r="DU204" s="60">
        <f t="shared" si="561"/>
        <v>0</v>
      </c>
      <c r="DV204" s="60">
        <f t="shared" si="561"/>
        <v>0</v>
      </c>
      <c r="DW204" s="60"/>
      <c r="DX204" s="60"/>
      <c r="DY204" s="60">
        <f t="shared" si="569"/>
        <v>0</v>
      </c>
      <c r="DZ204" s="60">
        <f t="shared" si="569"/>
        <v>0</v>
      </c>
      <c r="EA204" s="60"/>
      <c r="EB204" s="60"/>
      <c r="EC204" s="43">
        <f t="shared" si="562"/>
        <v>0</v>
      </c>
      <c r="ED204" s="43">
        <f t="shared" si="562"/>
        <v>0</v>
      </c>
      <c r="EE204" s="43">
        <v>0</v>
      </c>
      <c r="EF204" s="43">
        <v>0</v>
      </c>
      <c r="EG204" s="43" t="e">
        <f t="shared" si="423"/>
        <v>#DIV/0!</v>
      </c>
      <c r="EH204" s="43" t="e">
        <f t="shared" si="423"/>
        <v>#DIV/0!</v>
      </c>
      <c r="EI204" s="43">
        <f t="shared" si="563"/>
        <v>0</v>
      </c>
      <c r="EJ204" s="43">
        <f t="shared" si="563"/>
        <v>0</v>
      </c>
      <c r="EK204" s="43">
        <f t="shared" si="564"/>
        <v>0</v>
      </c>
      <c r="EL204" s="43">
        <f t="shared" si="564"/>
        <v>0</v>
      </c>
      <c r="EM204" s="43">
        <f t="shared" si="565"/>
        <v>0</v>
      </c>
      <c r="EN204" s="43">
        <f t="shared" si="565"/>
        <v>0</v>
      </c>
      <c r="EO204" s="43">
        <v>0</v>
      </c>
      <c r="EP204" s="43">
        <v>0</v>
      </c>
      <c r="EQ204" s="5"/>
      <c r="ER204" s="5"/>
      <c r="ES204" s="5"/>
      <c r="ET204" s="5"/>
      <c r="EU204" s="5">
        <f t="shared" si="442"/>
        <v>0</v>
      </c>
      <c r="EV204" s="5">
        <f t="shared" si="442"/>
        <v>0</v>
      </c>
    </row>
    <row r="205" spans="1:162" ht="18.75" x14ac:dyDescent="0.25">
      <c r="A205" s="68"/>
      <c r="B205" s="68" t="s">
        <v>439</v>
      </c>
      <c r="C205" s="91" t="s">
        <v>193</v>
      </c>
      <c r="D205" s="67" t="s">
        <v>433</v>
      </c>
      <c r="E205" s="69" t="s">
        <v>440</v>
      </c>
      <c r="F205" s="70">
        <v>3362.45</v>
      </c>
      <c r="G205" s="70">
        <v>63.18</v>
      </c>
      <c r="H205" s="70">
        <v>3362.45</v>
      </c>
      <c r="I205" s="70">
        <v>79.47</v>
      </c>
      <c r="J205" s="71">
        <f t="shared" ref="J205:AA205" si="574">+J199+J200+J201+J202+J203+J204</f>
        <v>4492.1900000000005</v>
      </c>
      <c r="K205" s="71">
        <f t="shared" si="574"/>
        <v>0</v>
      </c>
      <c r="L205" s="71">
        <f t="shared" si="574"/>
        <v>0</v>
      </c>
      <c r="M205" s="71">
        <f t="shared" si="574"/>
        <v>4492.1900000000005</v>
      </c>
      <c r="N205" s="71">
        <f t="shared" si="574"/>
        <v>0</v>
      </c>
      <c r="O205" s="71">
        <f t="shared" si="574"/>
        <v>0</v>
      </c>
      <c r="P205" s="71">
        <f t="shared" si="574"/>
        <v>0</v>
      </c>
      <c r="Q205" s="71">
        <f t="shared" si="574"/>
        <v>0</v>
      </c>
      <c r="R205" s="71">
        <f t="shared" si="574"/>
        <v>4492.1900000000005</v>
      </c>
      <c r="S205" s="71">
        <f t="shared" si="574"/>
        <v>60</v>
      </c>
      <c r="T205" s="71">
        <f t="shared" si="574"/>
        <v>0</v>
      </c>
      <c r="U205" s="71">
        <f t="shared" si="574"/>
        <v>0</v>
      </c>
      <c r="V205" s="71">
        <f t="shared" si="574"/>
        <v>3558.48</v>
      </c>
      <c r="W205" s="71">
        <f t="shared" si="574"/>
        <v>82.07</v>
      </c>
      <c r="X205" s="71">
        <f t="shared" si="574"/>
        <v>933.71000000000015</v>
      </c>
      <c r="Y205" s="71">
        <f t="shared" si="574"/>
        <v>-22.069999999999993</v>
      </c>
      <c r="Z205" s="71">
        <f t="shared" si="574"/>
        <v>3558.48</v>
      </c>
      <c r="AA205" s="71">
        <f t="shared" si="574"/>
        <v>0</v>
      </c>
      <c r="AB205" s="70">
        <f t="shared" si="547"/>
        <v>3558.48</v>
      </c>
      <c r="AC205" s="43">
        <f t="shared" si="548"/>
        <v>0</v>
      </c>
      <c r="AD205" s="70">
        <f t="shared" ref="AD205:CO205" si="575">+AD199+AD200+AD201+AD202+AD203+AD204</f>
        <v>3558.48</v>
      </c>
      <c r="AE205" s="70">
        <f t="shared" si="575"/>
        <v>133</v>
      </c>
      <c r="AF205" s="70">
        <f t="shared" si="575"/>
        <v>54.13</v>
      </c>
      <c r="AG205" s="70">
        <f t="shared" si="575"/>
        <v>889</v>
      </c>
      <c r="AH205" s="70">
        <f t="shared" si="575"/>
        <v>15</v>
      </c>
      <c r="AI205" s="96">
        <f t="shared" si="575"/>
        <v>296</v>
      </c>
      <c r="AJ205" s="70">
        <f t="shared" si="575"/>
        <v>5</v>
      </c>
      <c r="AK205" s="70">
        <f t="shared" si="575"/>
        <v>0</v>
      </c>
      <c r="AL205" s="70">
        <f t="shared" si="575"/>
        <v>0</v>
      </c>
      <c r="AM205" s="70">
        <f t="shared" si="575"/>
        <v>889.63</v>
      </c>
      <c r="AN205" s="70">
        <f t="shared" si="575"/>
        <v>14.61</v>
      </c>
      <c r="AO205" s="70">
        <f t="shared" si="575"/>
        <v>0</v>
      </c>
      <c r="AP205" s="70">
        <f t="shared" si="575"/>
        <v>0</v>
      </c>
      <c r="AQ205" s="70">
        <f t="shared" si="575"/>
        <v>1778.6299999999999</v>
      </c>
      <c r="AR205" s="70">
        <f t="shared" si="575"/>
        <v>29.61</v>
      </c>
      <c r="AS205" s="70">
        <f t="shared" si="575"/>
        <v>0</v>
      </c>
      <c r="AT205" s="70">
        <f t="shared" si="575"/>
        <v>73</v>
      </c>
      <c r="AU205" s="70">
        <f t="shared" si="575"/>
        <v>889.63</v>
      </c>
      <c r="AV205" s="70">
        <f t="shared" si="575"/>
        <v>25.39</v>
      </c>
      <c r="AW205" s="70">
        <f t="shared" si="575"/>
        <v>0</v>
      </c>
      <c r="AX205" s="70">
        <f t="shared" si="575"/>
        <v>9</v>
      </c>
      <c r="AY205" s="70">
        <f t="shared" si="575"/>
        <v>2964.2599999999998</v>
      </c>
      <c r="AZ205" s="70">
        <f t="shared" si="575"/>
        <v>142</v>
      </c>
      <c r="BA205" s="70">
        <f t="shared" si="575"/>
        <v>3106.2599999999998</v>
      </c>
      <c r="BB205" s="70">
        <f t="shared" si="575"/>
        <v>2964.22</v>
      </c>
      <c r="BC205" s="70">
        <f t="shared" si="575"/>
        <v>142</v>
      </c>
      <c r="BD205" s="70">
        <f t="shared" si="575"/>
        <v>4.0000000000020464E-2</v>
      </c>
      <c r="BE205" s="70">
        <f t="shared" si="575"/>
        <v>0</v>
      </c>
      <c r="BF205" s="70">
        <f t="shared" si="575"/>
        <v>592.84999999999991</v>
      </c>
      <c r="BG205" s="96">
        <f t="shared" si="575"/>
        <v>28.4</v>
      </c>
      <c r="BH205" s="96">
        <f t="shared" si="575"/>
        <v>296.40999999999997</v>
      </c>
      <c r="BI205" s="96">
        <f t="shared" si="575"/>
        <v>0</v>
      </c>
      <c r="BJ205" s="96">
        <f t="shared" si="575"/>
        <v>0</v>
      </c>
      <c r="BK205" s="96">
        <f t="shared" si="575"/>
        <v>0</v>
      </c>
      <c r="BL205" s="96">
        <f t="shared" si="575"/>
        <v>3260.67</v>
      </c>
      <c r="BM205" s="96">
        <f t="shared" si="575"/>
        <v>142</v>
      </c>
      <c r="BN205" s="96">
        <f t="shared" si="575"/>
        <v>3402.67</v>
      </c>
      <c r="BO205" s="96">
        <f t="shared" si="575"/>
        <v>3107.54</v>
      </c>
      <c r="BP205" s="96">
        <f t="shared" si="575"/>
        <v>142</v>
      </c>
      <c r="BQ205" s="70">
        <f t="shared" si="575"/>
        <v>153.12999999999994</v>
      </c>
      <c r="BR205" s="70">
        <f t="shared" si="575"/>
        <v>0</v>
      </c>
      <c r="BS205" s="70">
        <f t="shared" si="575"/>
        <v>282.5</v>
      </c>
      <c r="BT205" s="70">
        <f t="shared" si="575"/>
        <v>12.91</v>
      </c>
      <c r="BU205" s="70">
        <f t="shared" si="575"/>
        <v>129.37</v>
      </c>
      <c r="BV205" s="70">
        <f t="shared" si="575"/>
        <v>0</v>
      </c>
      <c r="BW205" s="70">
        <f t="shared" si="575"/>
        <v>325.30999999999995</v>
      </c>
      <c r="BX205" s="70">
        <f t="shared" si="575"/>
        <v>22</v>
      </c>
      <c r="BY205" s="70">
        <f t="shared" si="575"/>
        <v>0</v>
      </c>
      <c r="BZ205" s="70">
        <f t="shared" si="575"/>
        <v>0</v>
      </c>
      <c r="CA205" s="70">
        <f t="shared" si="575"/>
        <v>3715.3499999999995</v>
      </c>
      <c r="CB205" s="70">
        <f t="shared" si="575"/>
        <v>164</v>
      </c>
      <c r="CC205" s="70">
        <f t="shared" si="575"/>
        <v>4086.8899999999994</v>
      </c>
      <c r="CD205" s="70">
        <f t="shared" si="575"/>
        <v>188.6</v>
      </c>
      <c r="CE205" s="70">
        <f t="shared" si="575"/>
        <v>340</v>
      </c>
      <c r="CF205" s="70">
        <f t="shared" si="575"/>
        <v>16</v>
      </c>
      <c r="CG205" s="70">
        <f t="shared" si="575"/>
        <v>928.84</v>
      </c>
      <c r="CH205" s="96">
        <f t="shared" si="575"/>
        <v>41</v>
      </c>
      <c r="CI205" s="70">
        <f t="shared" si="575"/>
        <v>0</v>
      </c>
      <c r="CJ205" s="70">
        <f t="shared" si="575"/>
        <v>0</v>
      </c>
      <c r="CK205" s="70">
        <f t="shared" si="575"/>
        <v>880</v>
      </c>
      <c r="CL205" s="70">
        <f t="shared" si="575"/>
        <v>0</v>
      </c>
      <c r="CM205" s="70">
        <f t="shared" si="575"/>
        <v>0</v>
      </c>
      <c r="CN205" s="70">
        <f t="shared" si="575"/>
        <v>0</v>
      </c>
      <c r="CO205" s="70">
        <f t="shared" si="575"/>
        <v>4225.8899999999994</v>
      </c>
      <c r="CP205" s="70">
        <f t="shared" ref="CP205:FA205" si="576">+CP199+CP200+CP201+CP202+CP203+CP204</f>
        <v>200</v>
      </c>
      <c r="CQ205" s="70">
        <f t="shared" si="576"/>
        <v>3520</v>
      </c>
      <c r="CR205" s="70">
        <f t="shared" si="576"/>
        <v>0</v>
      </c>
      <c r="CS205" s="70">
        <f t="shared" si="576"/>
        <v>3520</v>
      </c>
      <c r="CT205" s="70">
        <f t="shared" si="576"/>
        <v>268</v>
      </c>
      <c r="CU205" s="70">
        <f t="shared" si="576"/>
        <v>4168</v>
      </c>
      <c r="CV205" s="70">
        <f t="shared" si="576"/>
        <v>268</v>
      </c>
      <c r="CW205" s="70">
        <f t="shared" si="576"/>
        <v>1042.01</v>
      </c>
      <c r="CX205" s="70">
        <f t="shared" si="576"/>
        <v>67</v>
      </c>
      <c r="CY205" s="70">
        <f t="shared" si="576"/>
        <v>0</v>
      </c>
      <c r="CZ205" s="70">
        <f t="shared" si="576"/>
        <v>0</v>
      </c>
      <c r="DA205" s="70">
        <f t="shared" si="576"/>
        <v>2262.0100000000002</v>
      </c>
      <c r="DB205" s="70">
        <f t="shared" si="576"/>
        <v>83</v>
      </c>
      <c r="DC205" s="70">
        <f t="shared" si="576"/>
        <v>2199.5500000000002</v>
      </c>
      <c r="DD205" s="70">
        <f t="shared" si="576"/>
        <v>83</v>
      </c>
      <c r="DE205" s="70">
        <f t="shared" si="576"/>
        <v>62.459999999999994</v>
      </c>
      <c r="DF205" s="70">
        <f t="shared" si="576"/>
        <v>0</v>
      </c>
      <c r="DG205" s="70">
        <f t="shared" si="576"/>
        <v>1042.01</v>
      </c>
      <c r="DH205" s="70">
        <f t="shared" si="576"/>
        <v>67</v>
      </c>
      <c r="DI205" s="70">
        <f t="shared" si="576"/>
        <v>979.55</v>
      </c>
      <c r="DJ205" s="70">
        <f t="shared" si="576"/>
        <v>67</v>
      </c>
      <c r="DK205" s="70">
        <f t="shared" si="576"/>
        <v>50</v>
      </c>
      <c r="DL205" s="70">
        <f t="shared" si="576"/>
        <v>50</v>
      </c>
      <c r="DM205" s="70">
        <f t="shared" si="576"/>
        <v>3291.5600000000004</v>
      </c>
      <c r="DN205" s="70">
        <f t="shared" si="576"/>
        <v>200</v>
      </c>
      <c r="DO205" s="70">
        <f t="shared" si="576"/>
        <v>3291.5</v>
      </c>
      <c r="DP205" s="70">
        <f t="shared" si="576"/>
        <v>167.19</v>
      </c>
      <c r="DQ205" s="70">
        <f t="shared" si="576"/>
        <v>0.06</v>
      </c>
      <c r="DR205" s="70">
        <f t="shared" si="576"/>
        <v>32.81</v>
      </c>
      <c r="DS205" s="70">
        <f t="shared" si="576"/>
        <v>329.15000000000003</v>
      </c>
      <c r="DT205" s="70">
        <f t="shared" si="576"/>
        <v>16.719000000000001</v>
      </c>
      <c r="DU205" s="70">
        <f t="shared" si="576"/>
        <v>329.09</v>
      </c>
      <c r="DV205" s="70">
        <f t="shared" si="576"/>
        <v>-16.091000000000001</v>
      </c>
      <c r="DW205" s="70">
        <f t="shared" si="576"/>
        <v>0</v>
      </c>
      <c r="DX205" s="70">
        <f t="shared" si="576"/>
        <v>15</v>
      </c>
      <c r="DY205" s="70">
        <f t="shared" si="576"/>
        <v>329.1</v>
      </c>
      <c r="DZ205" s="70">
        <f t="shared" si="576"/>
        <v>0</v>
      </c>
      <c r="EA205" s="70">
        <f t="shared" si="576"/>
        <v>0</v>
      </c>
      <c r="EB205" s="96">
        <f t="shared" si="576"/>
        <v>0</v>
      </c>
      <c r="EC205" s="70">
        <f t="shared" si="576"/>
        <v>3620.66</v>
      </c>
      <c r="ED205" s="70">
        <f t="shared" si="576"/>
        <v>200</v>
      </c>
      <c r="EE205" s="70">
        <f t="shared" si="576"/>
        <v>3483</v>
      </c>
      <c r="EF205" s="70">
        <f t="shared" si="576"/>
        <v>168.69</v>
      </c>
      <c r="EG205" s="70" t="e">
        <f t="shared" si="576"/>
        <v>#DIV/0!</v>
      </c>
      <c r="EH205" s="70" t="e">
        <f t="shared" si="576"/>
        <v>#DIV/0!</v>
      </c>
      <c r="EI205" s="70">
        <f t="shared" si="576"/>
        <v>137.66</v>
      </c>
      <c r="EJ205" s="70">
        <f t="shared" si="576"/>
        <v>31.31</v>
      </c>
      <c r="EK205" s="70">
        <f t="shared" si="576"/>
        <v>316.64</v>
      </c>
      <c r="EL205" s="70">
        <f t="shared" si="576"/>
        <v>15.34</v>
      </c>
      <c r="EM205" s="70">
        <f t="shared" si="576"/>
        <v>178.98</v>
      </c>
      <c r="EN205" s="70">
        <f t="shared" si="576"/>
        <v>-15.969999999999999</v>
      </c>
      <c r="EO205" s="70">
        <f t="shared" si="576"/>
        <v>728.44</v>
      </c>
      <c r="EP205" s="70">
        <f t="shared" si="576"/>
        <v>13</v>
      </c>
      <c r="EQ205" s="66">
        <f t="shared" si="576"/>
        <v>0</v>
      </c>
      <c r="ER205" s="46">
        <f t="shared" si="576"/>
        <v>0</v>
      </c>
      <c r="ES205" s="46">
        <f t="shared" si="576"/>
        <v>0</v>
      </c>
      <c r="ET205" s="46">
        <f t="shared" si="576"/>
        <v>0</v>
      </c>
      <c r="EU205" s="5">
        <f t="shared" si="442"/>
        <v>-11.099999999999909</v>
      </c>
      <c r="EV205" s="5">
        <f t="shared" si="442"/>
        <v>55</v>
      </c>
      <c r="EW205" s="46">
        <f t="shared" si="576"/>
        <v>4338</v>
      </c>
      <c r="EX205" s="46">
        <f t="shared" si="576"/>
        <v>268</v>
      </c>
      <c r="EY205" s="46">
        <f t="shared" si="576"/>
        <v>4581.07</v>
      </c>
      <c r="EZ205" s="46">
        <f t="shared" si="576"/>
        <v>372</v>
      </c>
      <c r="FA205" s="46">
        <f t="shared" si="576"/>
        <v>0</v>
      </c>
      <c r="FB205" s="46">
        <f t="shared" ref="FB205:FC205" si="577">+FB199+FB200+FB201+FB202+FB203+FB204</f>
        <v>0</v>
      </c>
      <c r="FC205" s="46">
        <f t="shared" si="577"/>
        <v>0</v>
      </c>
    </row>
    <row r="206" spans="1:162" ht="18.75" x14ac:dyDescent="0.25">
      <c r="A206" s="68">
        <v>17</v>
      </c>
      <c r="B206" s="68" t="s">
        <v>441</v>
      </c>
      <c r="C206" s="91" t="s">
        <v>102</v>
      </c>
      <c r="D206" s="67" t="s">
        <v>442</v>
      </c>
      <c r="E206" s="69" t="s">
        <v>443</v>
      </c>
      <c r="F206" s="40">
        <v>3382.32</v>
      </c>
      <c r="G206" s="40">
        <v>3397.25</v>
      </c>
      <c r="H206" s="40">
        <v>3382.32</v>
      </c>
      <c r="I206" s="70">
        <v>3497.25</v>
      </c>
      <c r="J206" s="71">
        <v>4200</v>
      </c>
      <c r="K206" s="71">
        <v>0</v>
      </c>
      <c r="L206" s="71">
        <v>0</v>
      </c>
      <c r="M206" s="71">
        <f t="shared" ref="M206" si="578">+L206+K206+J206</f>
        <v>4200</v>
      </c>
      <c r="N206" s="71">
        <v>0</v>
      </c>
      <c r="O206" s="71">
        <v>0</v>
      </c>
      <c r="P206" s="71">
        <v>0</v>
      </c>
      <c r="Q206" s="71">
        <f t="shared" ref="Q206" si="579">+P206+O206+N206</f>
        <v>0</v>
      </c>
      <c r="R206" s="71">
        <f t="shared" si="543"/>
        <v>4200</v>
      </c>
      <c r="S206" s="71">
        <v>4700</v>
      </c>
      <c r="T206" s="92"/>
      <c r="U206" s="92"/>
      <c r="V206" s="70">
        <f t="shared" ref="V206:V208" si="580">ROUND(H206*1.0583,2)</f>
        <v>3579.51</v>
      </c>
      <c r="W206" s="70">
        <f t="shared" ref="W206:W208" si="581">ROUND(I206*1.0327,2)</f>
        <v>3611.61</v>
      </c>
      <c r="X206" s="70">
        <f t="shared" si="529"/>
        <v>620.48999999999978</v>
      </c>
      <c r="Y206" s="70">
        <f t="shared" si="529"/>
        <v>1088.3899999999999</v>
      </c>
      <c r="Z206" s="70">
        <v>3579.51</v>
      </c>
      <c r="AA206" s="70"/>
      <c r="AB206" s="70">
        <f t="shared" si="547"/>
        <v>3579.51</v>
      </c>
      <c r="AC206" s="43">
        <f t="shared" si="548"/>
        <v>0</v>
      </c>
      <c r="AD206" s="70">
        <f t="shared" ref="AD206:AE208" si="582">IF(X206&gt;0,V206,R206)</f>
        <v>3579.51</v>
      </c>
      <c r="AE206" s="70">
        <f t="shared" si="582"/>
        <v>3611.61</v>
      </c>
      <c r="AF206" s="70">
        <f t="shared" si="570"/>
        <v>4240.34</v>
      </c>
      <c r="AG206" s="43">
        <f t="shared" si="530"/>
        <v>895</v>
      </c>
      <c r="AH206" s="43">
        <f t="shared" si="530"/>
        <v>903</v>
      </c>
      <c r="AI206" s="93">
        <f t="shared" si="531"/>
        <v>298</v>
      </c>
      <c r="AJ206" s="43">
        <f t="shared" si="531"/>
        <v>301</v>
      </c>
      <c r="AK206" s="43"/>
      <c r="AL206" s="43"/>
      <c r="AM206" s="43">
        <f t="shared" si="571"/>
        <v>894.88</v>
      </c>
      <c r="AN206" s="43">
        <f t="shared" si="572"/>
        <v>879.43</v>
      </c>
      <c r="AO206" s="43"/>
      <c r="AP206" s="43"/>
      <c r="AQ206" s="43">
        <f t="shared" si="532"/>
        <v>1789.88</v>
      </c>
      <c r="AR206" s="43">
        <f t="shared" si="532"/>
        <v>1782.4299999999998</v>
      </c>
      <c r="AS206" s="43"/>
      <c r="AT206" s="43"/>
      <c r="AU206" s="43">
        <f t="shared" si="424"/>
        <v>894.88</v>
      </c>
      <c r="AV206" s="43">
        <f>ROUND(AE206*25%,2)</f>
        <v>902.9</v>
      </c>
      <c r="AW206" s="43"/>
      <c r="AX206" s="43">
        <v>646.70000000000005</v>
      </c>
      <c r="AY206" s="43">
        <f t="shared" si="520"/>
        <v>2982.76</v>
      </c>
      <c r="AZ206" s="43">
        <f t="shared" si="520"/>
        <v>3633.0299999999997</v>
      </c>
      <c r="BA206" s="43">
        <f t="shared" si="521"/>
        <v>6615.79</v>
      </c>
      <c r="BB206" s="60">
        <v>2812.07</v>
      </c>
      <c r="BC206" s="60">
        <v>3596.84</v>
      </c>
      <c r="BD206" s="60">
        <f t="shared" si="522"/>
        <v>170.69000000000005</v>
      </c>
      <c r="BE206" s="60">
        <f t="shared" si="522"/>
        <v>36.1899999999996</v>
      </c>
      <c r="BF206" s="60">
        <f t="shared" si="523"/>
        <v>562.41</v>
      </c>
      <c r="BG206" s="60">
        <f t="shared" si="523"/>
        <v>719.37</v>
      </c>
      <c r="BH206" s="43">
        <v>195.86</v>
      </c>
      <c r="BI206" s="43">
        <v>315.08999999999997</v>
      </c>
      <c r="BJ206" s="43"/>
      <c r="BK206" s="43"/>
      <c r="BL206" s="43">
        <f t="shared" si="545"/>
        <v>3178.6200000000003</v>
      </c>
      <c r="BM206" s="43">
        <f t="shared" si="545"/>
        <v>3948.12</v>
      </c>
      <c r="BN206" s="43">
        <f t="shared" si="573"/>
        <v>7126.74</v>
      </c>
      <c r="BO206" s="43">
        <v>3128.79</v>
      </c>
      <c r="BP206" s="93">
        <v>3972.03</v>
      </c>
      <c r="BQ206" s="43">
        <f t="shared" si="549"/>
        <v>49.830000000000382</v>
      </c>
      <c r="BR206" s="43">
        <f t="shared" si="549"/>
        <v>-23.910000000000309</v>
      </c>
      <c r="BS206" s="43">
        <f t="shared" si="550"/>
        <v>284.44</v>
      </c>
      <c r="BT206" s="43">
        <f t="shared" si="550"/>
        <v>361.09</v>
      </c>
      <c r="BU206" s="43">
        <f t="shared" ref="BU206:BU259" si="583">BS206-BQ206</f>
        <v>234.60999999999962</v>
      </c>
      <c r="BV206" s="43">
        <v>185</v>
      </c>
      <c r="BW206" s="43"/>
      <c r="BX206" s="43"/>
      <c r="BY206" s="43"/>
      <c r="BZ206" s="43"/>
      <c r="CA206" s="43">
        <v>3413.23</v>
      </c>
      <c r="CB206" s="43">
        <v>4133.12</v>
      </c>
      <c r="CC206" s="92">
        <v>3754.55</v>
      </c>
      <c r="CD206" s="92">
        <v>4753.09</v>
      </c>
      <c r="CE206" s="92">
        <v>313</v>
      </c>
      <c r="CF206" s="92">
        <v>396</v>
      </c>
      <c r="CG206" s="92">
        <f t="shared" si="551"/>
        <v>853.31</v>
      </c>
      <c r="CH206" s="92">
        <f t="shared" si="551"/>
        <v>1033.28</v>
      </c>
      <c r="CI206" s="43"/>
      <c r="CJ206" s="43"/>
      <c r="CK206" s="43">
        <v>870</v>
      </c>
      <c r="CL206" s="72">
        <f>1100-100</f>
        <v>1000</v>
      </c>
      <c r="CM206" s="72"/>
      <c r="CN206" s="72"/>
      <c r="CO206" s="43">
        <v>3800</v>
      </c>
      <c r="CP206" s="43">
        <v>4800</v>
      </c>
      <c r="CQ206" s="43">
        <f t="shared" si="552"/>
        <v>3480</v>
      </c>
      <c r="CR206" s="43">
        <f t="shared" si="552"/>
        <v>4000</v>
      </c>
      <c r="CS206" s="43">
        <f t="shared" si="553"/>
        <v>3480</v>
      </c>
      <c r="CT206" s="43">
        <f t="shared" si="553"/>
        <v>4000</v>
      </c>
      <c r="CU206" s="43">
        <f t="shared" si="553"/>
        <v>3480</v>
      </c>
      <c r="CV206" s="43">
        <f t="shared" si="553"/>
        <v>4000</v>
      </c>
      <c r="CW206" s="43">
        <f t="shared" si="554"/>
        <v>870</v>
      </c>
      <c r="CX206" s="43">
        <f t="shared" si="554"/>
        <v>1000</v>
      </c>
      <c r="CY206" s="43">
        <v>25</v>
      </c>
      <c r="CZ206" s="43">
        <v>300</v>
      </c>
      <c r="DA206" s="43">
        <f t="shared" si="555"/>
        <v>2078</v>
      </c>
      <c r="DB206" s="43">
        <f t="shared" si="555"/>
        <v>2696</v>
      </c>
      <c r="DC206" s="43">
        <v>2074.0700000000002</v>
      </c>
      <c r="DD206" s="43">
        <v>2724.24</v>
      </c>
      <c r="DE206" s="43">
        <f t="shared" si="556"/>
        <v>3.9299999999998363</v>
      </c>
      <c r="DF206" s="43">
        <f t="shared" si="556"/>
        <v>-28.239999999999782</v>
      </c>
      <c r="DG206" s="43">
        <f t="shared" ref="DG206:DH208" si="584">ROUND(0.25*(MIN(CU206,EW206)),2)</f>
        <v>870</v>
      </c>
      <c r="DH206" s="43">
        <f t="shared" si="584"/>
        <v>1000</v>
      </c>
      <c r="DI206" s="43">
        <f>+DG206-DE206</f>
        <v>866.07000000000016</v>
      </c>
      <c r="DJ206" s="43">
        <f>+DH206-DF206</f>
        <v>1028.2399999999998</v>
      </c>
      <c r="DK206" s="43">
        <v>35</v>
      </c>
      <c r="DL206" s="43">
        <v>150</v>
      </c>
      <c r="DM206" s="43">
        <f t="shared" si="558"/>
        <v>2979.07</v>
      </c>
      <c r="DN206" s="43">
        <f t="shared" si="558"/>
        <v>3874.24</v>
      </c>
      <c r="DO206" s="94">
        <v>2975.74</v>
      </c>
      <c r="DP206" s="95">
        <v>3918.86</v>
      </c>
      <c r="DQ206" s="60">
        <f t="shared" si="559"/>
        <v>3.33</v>
      </c>
      <c r="DR206" s="60">
        <f t="shared" si="559"/>
        <v>-44.62</v>
      </c>
      <c r="DS206" s="60">
        <f t="shared" si="560"/>
        <v>297.57399999999996</v>
      </c>
      <c r="DT206" s="60">
        <f t="shared" si="560"/>
        <v>391.88600000000002</v>
      </c>
      <c r="DU206" s="60">
        <f t="shared" si="561"/>
        <v>294.24399999999997</v>
      </c>
      <c r="DV206" s="60">
        <f t="shared" si="561"/>
        <v>436.50600000000003</v>
      </c>
      <c r="DW206" s="60"/>
      <c r="DX206" s="60">
        <v>125</v>
      </c>
      <c r="DY206" s="60">
        <f t="shared" si="569"/>
        <v>294.24</v>
      </c>
      <c r="DZ206" s="60">
        <f t="shared" si="569"/>
        <v>561.51</v>
      </c>
      <c r="EA206" s="60"/>
      <c r="EB206" s="60"/>
      <c r="EC206" s="43">
        <f t="shared" si="562"/>
        <v>3273.3100000000004</v>
      </c>
      <c r="ED206" s="43">
        <f t="shared" si="562"/>
        <v>4435.75</v>
      </c>
      <c r="EE206" s="43">
        <v>3287.62</v>
      </c>
      <c r="EF206" s="43">
        <v>4297.2700000000004</v>
      </c>
      <c r="EG206" s="43">
        <f t="shared" si="423"/>
        <v>100.44</v>
      </c>
      <c r="EH206" s="43">
        <f t="shared" si="423"/>
        <v>96.88</v>
      </c>
      <c r="EI206" s="43">
        <f t="shared" si="563"/>
        <v>-14.31</v>
      </c>
      <c r="EJ206" s="43">
        <f t="shared" si="563"/>
        <v>138.47999999999999</v>
      </c>
      <c r="EK206" s="43">
        <f t="shared" si="564"/>
        <v>298.87</v>
      </c>
      <c r="EL206" s="43">
        <f t="shared" si="564"/>
        <v>390.66</v>
      </c>
      <c r="EM206" s="43">
        <f t="shared" si="565"/>
        <v>313.18</v>
      </c>
      <c r="EN206" s="43">
        <f t="shared" si="565"/>
        <v>252.18000000000004</v>
      </c>
      <c r="EO206" s="43">
        <v>310</v>
      </c>
      <c r="EP206" s="43">
        <v>200</v>
      </c>
      <c r="EQ206" s="5"/>
      <c r="ER206" s="5"/>
      <c r="ES206" s="5"/>
      <c r="ET206" s="5"/>
      <c r="EU206" s="5">
        <f t="shared" si="442"/>
        <v>96.6899999999996</v>
      </c>
      <c r="EV206" s="5">
        <f t="shared" si="442"/>
        <v>164.25</v>
      </c>
      <c r="EW206" s="5">
        <v>3680</v>
      </c>
      <c r="EX206" s="5">
        <v>4800</v>
      </c>
      <c r="EY206" s="5">
        <v>4000</v>
      </c>
      <c r="EZ206" s="5">
        <v>5400</v>
      </c>
    </row>
    <row r="207" spans="1:162" s="65" customFormat="1" ht="18.75" x14ac:dyDescent="0.25">
      <c r="A207" s="37">
        <v>18</v>
      </c>
      <c r="B207" s="37"/>
      <c r="C207" s="91" t="s">
        <v>136</v>
      </c>
      <c r="D207" s="38" t="s">
        <v>444</v>
      </c>
      <c r="E207" s="39"/>
      <c r="F207" s="40">
        <v>800.89</v>
      </c>
      <c r="G207" s="40">
        <v>77.91</v>
      </c>
      <c r="H207" s="40">
        <v>769.89</v>
      </c>
      <c r="I207" s="40">
        <v>47.91</v>
      </c>
      <c r="J207" s="41">
        <v>795</v>
      </c>
      <c r="K207" s="41">
        <v>0</v>
      </c>
      <c r="L207" s="41">
        <v>0</v>
      </c>
      <c r="M207" s="41">
        <f t="shared" ref="M207:M212" si="585">J207+K207+L207</f>
        <v>795</v>
      </c>
      <c r="N207" s="41">
        <v>0</v>
      </c>
      <c r="O207" s="41">
        <v>0</v>
      </c>
      <c r="P207" s="41">
        <v>0</v>
      </c>
      <c r="Q207" s="41">
        <f t="shared" ref="Q207:Q208" si="586">N207+O207+P207</f>
        <v>0</v>
      </c>
      <c r="R207" s="41">
        <f t="shared" si="543"/>
        <v>795</v>
      </c>
      <c r="S207" s="41">
        <v>170</v>
      </c>
      <c r="T207" s="92"/>
      <c r="U207" s="92"/>
      <c r="V207" s="40">
        <f t="shared" si="580"/>
        <v>814.77</v>
      </c>
      <c r="W207" s="40">
        <f t="shared" si="581"/>
        <v>49.48</v>
      </c>
      <c r="X207" s="43">
        <f t="shared" si="529"/>
        <v>-19.769999999999982</v>
      </c>
      <c r="Y207" s="43">
        <f t="shared" si="529"/>
        <v>120.52000000000001</v>
      </c>
      <c r="Z207" s="43">
        <v>795</v>
      </c>
      <c r="AA207" s="43"/>
      <c r="AB207" s="43">
        <f t="shared" si="547"/>
        <v>795</v>
      </c>
      <c r="AC207" s="43">
        <f t="shared" si="548"/>
        <v>0</v>
      </c>
      <c r="AD207" s="43">
        <f t="shared" si="582"/>
        <v>795</v>
      </c>
      <c r="AE207" s="43">
        <v>300</v>
      </c>
      <c r="AF207" s="43">
        <f t="shared" si="570"/>
        <v>153.37</v>
      </c>
      <c r="AG207" s="43">
        <f t="shared" si="530"/>
        <v>199</v>
      </c>
      <c r="AH207" s="43">
        <v>12</v>
      </c>
      <c r="AI207" s="93">
        <f t="shared" si="531"/>
        <v>66</v>
      </c>
      <c r="AJ207" s="43">
        <v>4</v>
      </c>
      <c r="AK207" s="43"/>
      <c r="AL207" s="43"/>
      <c r="AM207" s="43">
        <f t="shared" si="571"/>
        <v>198.75</v>
      </c>
      <c r="AN207" s="43">
        <f>ROUND(AE207*24.35%,2)+0.95</f>
        <v>74</v>
      </c>
      <c r="AO207" s="43"/>
      <c r="AP207" s="43"/>
      <c r="AQ207" s="43">
        <f t="shared" si="532"/>
        <v>397.75</v>
      </c>
      <c r="AR207" s="43">
        <f t="shared" si="532"/>
        <v>86</v>
      </c>
      <c r="AS207" s="43"/>
      <c r="AT207" s="43"/>
      <c r="AU207" s="43">
        <f t="shared" si="424"/>
        <v>198.75</v>
      </c>
      <c r="AV207" s="43">
        <f t="shared" si="424"/>
        <v>75</v>
      </c>
      <c r="AW207" s="43"/>
      <c r="AX207" s="43"/>
      <c r="AY207" s="43">
        <f t="shared" si="520"/>
        <v>662.5</v>
      </c>
      <c r="AZ207" s="43">
        <f t="shared" si="520"/>
        <v>165</v>
      </c>
      <c r="BA207" s="43">
        <f t="shared" si="521"/>
        <v>827.5</v>
      </c>
      <c r="BB207" s="60">
        <v>610.80999999999995</v>
      </c>
      <c r="BC207" s="60">
        <v>161.41999999999999</v>
      </c>
      <c r="BD207" s="60">
        <f t="shared" si="522"/>
        <v>51.690000000000055</v>
      </c>
      <c r="BE207" s="60">
        <f t="shared" si="522"/>
        <v>3.5800000000000125</v>
      </c>
      <c r="BF207" s="60">
        <f t="shared" si="523"/>
        <v>122.16</v>
      </c>
      <c r="BG207" s="60">
        <f t="shared" si="523"/>
        <v>32.28</v>
      </c>
      <c r="BH207" s="43">
        <v>35.24</v>
      </c>
      <c r="BI207" s="43">
        <v>14.35</v>
      </c>
      <c r="BJ207" s="43"/>
      <c r="BK207" s="43"/>
      <c r="BL207" s="43">
        <f t="shared" si="545"/>
        <v>697.74</v>
      </c>
      <c r="BM207" s="43">
        <f t="shared" si="545"/>
        <v>179.35</v>
      </c>
      <c r="BN207" s="43">
        <f t="shared" si="573"/>
        <v>877.09</v>
      </c>
      <c r="BO207" s="43">
        <v>682.41</v>
      </c>
      <c r="BP207" s="93">
        <v>179.62</v>
      </c>
      <c r="BQ207" s="43">
        <f t="shared" si="549"/>
        <v>15.330000000000041</v>
      </c>
      <c r="BR207" s="43">
        <f t="shared" si="549"/>
        <v>-0.27000000000001023</v>
      </c>
      <c r="BS207" s="43">
        <f t="shared" si="550"/>
        <v>62.04</v>
      </c>
      <c r="BT207" s="43">
        <f t="shared" si="550"/>
        <v>16.329999999999998</v>
      </c>
      <c r="BU207" s="43">
        <v>52.26</v>
      </c>
      <c r="BV207" s="43">
        <v>85.65</v>
      </c>
      <c r="BW207" s="43"/>
      <c r="BX207" s="43"/>
      <c r="BY207" s="43"/>
      <c r="BZ207" s="43"/>
      <c r="CA207" s="43">
        <v>750</v>
      </c>
      <c r="CB207" s="43">
        <v>265</v>
      </c>
      <c r="CC207" s="92">
        <v>825</v>
      </c>
      <c r="CD207" s="92">
        <v>304.75</v>
      </c>
      <c r="CE207" s="92">
        <v>69</v>
      </c>
      <c r="CF207" s="92">
        <v>25</v>
      </c>
      <c r="CG207" s="92">
        <f t="shared" si="551"/>
        <v>187.5</v>
      </c>
      <c r="CH207" s="92">
        <f t="shared" si="551"/>
        <v>66.25</v>
      </c>
      <c r="CI207" s="43"/>
      <c r="CJ207" s="43"/>
      <c r="CK207" s="43">
        <v>200</v>
      </c>
      <c r="CL207" s="43">
        <v>0</v>
      </c>
      <c r="CM207" s="43"/>
      <c r="CN207" s="43">
        <v>150</v>
      </c>
      <c r="CO207" s="43">
        <v>800</v>
      </c>
      <c r="CP207" s="43">
        <f>150+25</f>
        <v>175</v>
      </c>
      <c r="CQ207" s="43">
        <f t="shared" si="552"/>
        <v>800</v>
      </c>
      <c r="CR207" s="43">
        <f>ROUND(CL207/3*12,2)+175</f>
        <v>175</v>
      </c>
      <c r="CS207" s="43">
        <f t="shared" si="553"/>
        <v>800</v>
      </c>
      <c r="CT207" s="43">
        <f>IF(CP207&lt;CR207,CP207,CR207)+25</f>
        <v>200</v>
      </c>
      <c r="CU207" s="43">
        <f t="shared" si="553"/>
        <v>800</v>
      </c>
      <c r="CV207" s="43">
        <f>IF(CR207&lt;CT207,CR207,CT207)+25</f>
        <v>200</v>
      </c>
      <c r="CW207" s="43">
        <f t="shared" si="554"/>
        <v>200</v>
      </c>
      <c r="CX207" s="43">
        <f>ROUND(CV207*25%,2)-25</f>
        <v>25</v>
      </c>
      <c r="CY207" s="43"/>
      <c r="CZ207" s="43"/>
      <c r="DA207" s="43">
        <f t="shared" si="555"/>
        <v>469</v>
      </c>
      <c r="DB207" s="43">
        <f t="shared" si="555"/>
        <v>200</v>
      </c>
      <c r="DC207" s="43">
        <v>435.99</v>
      </c>
      <c r="DD207" s="43">
        <v>176.94</v>
      </c>
      <c r="DE207" s="43">
        <f t="shared" si="556"/>
        <v>33.009999999999991</v>
      </c>
      <c r="DF207" s="43">
        <f t="shared" si="556"/>
        <v>23.060000000000002</v>
      </c>
      <c r="DG207" s="43">
        <f t="shared" si="584"/>
        <v>190</v>
      </c>
      <c r="DH207" s="43">
        <f t="shared" si="584"/>
        <v>47.5</v>
      </c>
      <c r="DI207" s="43">
        <v>154.49</v>
      </c>
      <c r="DJ207" s="43">
        <f>+DH207-DF207-24.44</f>
        <v>0</v>
      </c>
      <c r="DK207" s="43"/>
      <c r="DL207" s="43"/>
      <c r="DM207" s="43">
        <f t="shared" si="558"/>
        <v>623.49</v>
      </c>
      <c r="DN207" s="43">
        <f t="shared" si="558"/>
        <v>200</v>
      </c>
      <c r="DO207" s="94">
        <v>622.27</v>
      </c>
      <c r="DP207" s="94">
        <v>187.14</v>
      </c>
      <c r="DQ207" s="60">
        <f t="shared" si="559"/>
        <v>1.22</v>
      </c>
      <c r="DR207" s="60">
        <f t="shared" si="559"/>
        <v>12.86</v>
      </c>
      <c r="DS207" s="60">
        <f t="shared" si="560"/>
        <v>62.226999999999997</v>
      </c>
      <c r="DT207" s="60">
        <f t="shared" si="560"/>
        <v>18.713999999999999</v>
      </c>
      <c r="DU207" s="60">
        <f t="shared" si="561"/>
        <v>61.006999999999998</v>
      </c>
      <c r="DV207" s="60">
        <f t="shared" si="561"/>
        <v>5.8539999999999992</v>
      </c>
      <c r="DW207" s="60"/>
      <c r="DX207" s="60"/>
      <c r="DY207" s="60">
        <v>58.51</v>
      </c>
      <c r="DZ207" s="60">
        <f>ROUND(DV207+DX207,2)-5.85</f>
        <v>0</v>
      </c>
      <c r="EA207" s="60">
        <f>1+5</f>
        <v>6</v>
      </c>
      <c r="EB207" s="60"/>
      <c r="EC207" s="43">
        <f t="shared" si="562"/>
        <v>688</v>
      </c>
      <c r="ED207" s="43">
        <f t="shared" si="562"/>
        <v>200</v>
      </c>
      <c r="EE207" s="43">
        <v>682.2</v>
      </c>
      <c r="EF207" s="43">
        <v>189.54</v>
      </c>
      <c r="EG207" s="43">
        <f t="shared" si="423"/>
        <v>99.16</v>
      </c>
      <c r="EH207" s="43">
        <f t="shared" si="423"/>
        <v>94.77</v>
      </c>
      <c r="EI207" s="43">
        <f t="shared" si="563"/>
        <v>5.8</v>
      </c>
      <c r="EJ207" s="43">
        <f t="shared" si="563"/>
        <v>10.46</v>
      </c>
      <c r="EK207" s="43">
        <f t="shared" si="564"/>
        <v>62.02</v>
      </c>
      <c r="EL207" s="43">
        <f t="shared" si="564"/>
        <v>17.23</v>
      </c>
      <c r="EM207" s="43">
        <f t="shared" si="565"/>
        <v>56.220000000000006</v>
      </c>
      <c r="EN207" s="43">
        <f t="shared" si="565"/>
        <v>6.77</v>
      </c>
      <c r="EO207" s="43">
        <v>70</v>
      </c>
      <c r="EP207" s="43">
        <v>11</v>
      </c>
      <c r="EQ207" s="5"/>
      <c r="ER207" s="5"/>
      <c r="ES207" s="5"/>
      <c r="ET207" s="5"/>
      <c r="EU207" s="5">
        <f t="shared" si="442"/>
        <v>2</v>
      </c>
      <c r="EV207" s="5">
        <f t="shared" si="442"/>
        <v>-21</v>
      </c>
      <c r="EW207" s="48">
        <v>760</v>
      </c>
      <c r="EX207" s="55">
        <v>190</v>
      </c>
      <c r="EY207" s="54">
        <v>800</v>
      </c>
      <c r="EZ207" s="54">
        <v>130</v>
      </c>
    </row>
    <row r="208" spans="1:162" ht="18.75" x14ac:dyDescent="0.25">
      <c r="A208" s="37">
        <v>19</v>
      </c>
      <c r="B208" s="37"/>
      <c r="C208" s="91" t="s">
        <v>136</v>
      </c>
      <c r="D208" s="38" t="s">
        <v>445</v>
      </c>
      <c r="E208" s="39"/>
      <c r="F208" s="40">
        <v>986.71999999999991</v>
      </c>
      <c r="G208" s="40">
        <v>0</v>
      </c>
      <c r="H208" s="40">
        <v>899.99999999999989</v>
      </c>
      <c r="I208" s="40">
        <v>0</v>
      </c>
      <c r="J208" s="41">
        <v>1150</v>
      </c>
      <c r="K208" s="41">
        <v>0</v>
      </c>
      <c r="L208" s="41">
        <v>0</v>
      </c>
      <c r="M208" s="41">
        <f t="shared" si="585"/>
        <v>1150</v>
      </c>
      <c r="N208" s="41">
        <v>0</v>
      </c>
      <c r="O208" s="41">
        <v>0</v>
      </c>
      <c r="P208" s="41">
        <v>0</v>
      </c>
      <c r="Q208" s="41">
        <f t="shared" si="586"/>
        <v>0</v>
      </c>
      <c r="R208" s="41">
        <f t="shared" si="543"/>
        <v>1150</v>
      </c>
      <c r="S208" s="41"/>
      <c r="T208" s="92"/>
      <c r="U208" s="92"/>
      <c r="V208" s="40">
        <f t="shared" si="580"/>
        <v>952.47</v>
      </c>
      <c r="W208" s="40">
        <f t="shared" si="581"/>
        <v>0</v>
      </c>
      <c r="X208" s="43">
        <f t="shared" si="529"/>
        <v>197.52999999999997</v>
      </c>
      <c r="Y208" s="43">
        <f t="shared" si="529"/>
        <v>0</v>
      </c>
      <c r="Z208" s="43">
        <v>952.47</v>
      </c>
      <c r="AA208" s="43"/>
      <c r="AB208" s="43">
        <f t="shared" si="547"/>
        <v>952.47</v>
      </c>
      <c r="AC208" s="43">
        <f t="shared" si="548"/>
        <v>0</v>
      </c>
      <c r="AD208" s="43">
        <f t="shared" si="582"/>
        <v>952.47</v>
      </c>
      <c r="AE208" s="43">
        <f t="shared" si="582"/>
        <v>0</v>
      </c>
      <c r="AF208" s="43">
        <f t="shared" si="570"/>
        <v>0</v>
      </c>
      <c r="AG208" s="43">
        <f t="shared" si="530"/>
        <v>238</v>
      </c>
      <c r="AH208" s="43">
        <f t="shared" si="530"/>
        <v>0</v>
      </c>
      <c r="AI208" s="93">
        <f t="shared" si="531"/>
        <v>79</v>
      </c>
      <c r="AJ208" s="43">
        <f t="shared" si="531"/>
        <v>0</v>
      </c>
      <c r="AK208" s="43"/>
      <c r="AL208" s="43"/>
      <c r="AM208" s="43">
        <f t="shared" si="571"/>
        <v>238.12</v>
      </c>
      <c r="AN208" s="43">
        <f t="shared" si="572"/>
        <v>0</v>
      </c>
      <c r="AO208" s="43"/>
      <c r="AP208" s="43"/>
      <c r="AQ208" s="43">
        <f t="shared" si="532"/>
        <v>476.12</v>
      </c>
      <c r="AR208" s="43">
        <f t="shared" si="532"/>
        <v>0</v>
      </c>
      <c r="AS208" s="43"/>
      <c r="AT208" s="43"/>
      <c r="AU208" s="43">
        <f t="shared" si="424"/>
        <v>238.12</v>
      </c>
      <c r="AV208" s="43">
        <f t="shared" si="424"/>
        <v>0</v>
      </c>
      <c r="AW208" s="43"/>
      <c r="AX208" s="43"/>
      <c r="AY208" s="43">
        <f t="shared" si="520"/>
        <v>793.24</v>
      </c>
      <c r="AZ208" s="43">
        <f t="shared" si="520"/>
        <v>0</v>
      </c>
      <c r="BA208" s="43">
        <f t="shared" si="521"/>
        <v>793.24</v>
      </c>
      <c r="BB208" s="60">
        <v>739</v>
      </c>
      <c r="BC208" s="60"/>
      <c r="BD208" s="60">
        <f t="shared" si="522"/>
        <v>54.240000000000009</v>
      </c>
      <c r="BE208" s="60">
        <f t="shared" si="522"/>
        <v>0</v>
      </c>
      <c r="BF208" s="60">
        <f t="shared" si="523"/>
        <v>147.80000000000001</v>
      </c>
      <c r="BG208" s="60">
        <f t="shared" si="523"/>
        <v>0</v>
      </c>
      <c r="BH208" s="43">
        <v>46.78</v>
      </c>
      <c r="BI208" s="43">
        <v>0</v>
      </c>
      <c r="BJ208" s="43"/>
      <c r="BK208" s="43"/>
      <c r="BL208" s="43">
        <f t="shared" si="545"/>
        <v>840.02</v>
      </c>
      <c r="BM208" s="43">
        <f t="shared" si="545"/>
        <v>0</v>
      </c>
      <c r="BN208" s="43">
        <f t="shared" si="573"/>
        <v>840.02</v>
      </c>
      <c r="BO208" s="43">
        <v>739</v>
      </c>
      <c r="BP208" s="93"/>
      <c r="BQ208" s="43">
        <f t="shared" si="549"/>
        <v>101.01999999999998</v>
      </c>
      <c r="BR208" s="43">
        <f t="shared" si="549"/>
        <v>0</v>
      </c>
      <c r="BS208" s="43">
        <f t="shared" si="550"/>
        <v>67.180000000000007</v>
      </c>
      <c r="BT208" s="43">
        <f t="shared" si="550"/>
        <v>0</v>
      </c>
      <c r="BU208" s="43">
        <v>0</v>
      </c>
      <c r="BV208" s="43">
        <v>0</v>
      </c>
      <c r="BW208" s="43">
        <v>112</v>
      </c>
      <c r="BX208" s="43"/>
      <c r="BY208" s="43"/>
      <c r="BZ208" s="43"/>
      <c r="CA208" s="43">
        <v>952.02</v>
      </c>
      <c r="CB208" s="43">
        <v>0</v>
      </c>
      <c r="CC208" s="92">
        <v>1047.22</v>
      </c>
      <c r="CD208" s="92">
        <v>0</v>
      </c>
      <c r="CE208" s="92">
        <v>87</v>
      </c>
      <c r="CF208" s="92">
        <v>0</v>
      </c>
      <c r="CG208" s="92">
        <f t="shared" si="551"/>
        <v>238.01</v>
      </c>
      <c r="CH208" s="92">
        <f t="shared" si="551"/>
        <v>0</v>
      </c>
      <c r="CI208" s="43"/>
      <c r="CJ208" s="43"/>
      <c r="CK208" s="43">
        <v>275</v>
      </c>
      <c r="CL208" s="43">
        <v>0</v>
      </c>
      <c r="CM208" s="43"/>
      <c r="CN208" s="43"/>
      <c r="CO208" s="43">
        <v>1265</v>
      </c>
      <c r="CP208" s="43"/>
      <c r="CQ208" s="43">
        <f t="shared" si="552"/>
        <v>1100</v>
      </c>
      <c r="CR208" s="43">
        <f t="shared" si="552"/>
        <v>0</v>
      </c>
      <c r="CS208" s="43">
        <f t="shared" si="553"/>
        <v>1100</v>
      </c>
      <c r="CT208" s="43">
        <f t="shared" si="553"/>
        <v>0</v>
      </c>
      <c r="CU208" s="43">
        <f t="shared" si="553"/>
        <v>1100</v>
      </c>
      <c r="CV208" s="43">
        <f t="shared" si="553"/>
        <v>0</v>
      </c>
      <c r="CW208" s="43">
        <f t="shared" si="554"/>
        <v>275</v>
      </c>
      <c r="CX208" s="43">
        <f t="shared" si="554"/>
        <v>0</v>
      </c>
      <c r="CY208" s="43"/>
      <c r="CZ208" s="43"/>
      <c r="DA208" s="43">
        <f t="shared" si="555"/>
        <v>637</v>
      </c>
      <c r="DB208" s="43">
        <f t="shared" si="555"/>
        <v>0</v>
      </c>
      <c r="DC208" s="43">
        <v>460</v>
      </c>
      <c r="DD208" s="43">
        <v>0</v>
      </c>
      <c r="DE208" s="43">
        <f t="shared" si="556"/>
        <v>177</v>
      </c>
      <c r="DF208" s="43">
        <f t="shared" si="556"/>
        <v>0</v>
      </c>
      <c r="DG208" s="43">
        <f t="shared" si="584"/>
        <v>250</v>
      </c>
      <c r="DH208" s="43">
        <f t="shared" si="584"/>
        <v>0</v>
      </c>
      <c r="DI208" s="43">
        <v>73</v>
      </c>
      <c r="DJ208" s="43">
        <f>+DH208-DF208</f>
        <v>0</v>
      </c>
      <c r="DK208" s="43"/>
      <c r="DL208" s="43"/>
      <c r="DM208" s="43">
        <f t="shared" si="558"/>
        <v>710</v>
      </c>
      <c r="DN208" s="43">
        <f t="shared" si="558"/>
        <v>0</v>
      </c>
      <c r="DO208" s="94">
        <v>640</v>
      </c>
      <c r="DP208" s="95">
        <v>0</v>
      </c>
      <c r="DQ208" s="60">
        <f t="shared" si="559"/>
        <v>70</v>
      </c>
      <c r="DR208" s="60">
        <f t="shared" si="559"/>
        <v>0</v>
      </c>
      <c r="DS208" s="60">
        <f t="shared" si="560"/>
        <v>64</v>
      </c>
      <c r="DT208" s="60">
        <f t="shared" si="560"/>
        <v>0</v>
      </c>
      <c r="DU208" s="60">
        <f t="shared" si="561"/>
        <v>-6</v>
      </c>
      <c r="DV208" s="60">
        <f t="shared" si="561"/>
        <v>0</v>
      </c>
      <c r="DW208" s="60"/>
      <c r="DX208" s="60"/>
      <c r="DY208" s="60">
        <v>0</v>
      </c>
      <c r="DZ208" s="60">
        <f t="shared" si="569"/>
        <v>0</v>
      </c>
      <c r="EA208" s="60"/>
      <c r="EB208" s="60"/>
      <c r="EC208" s="43">
        <f t="shared" si="562"/>
        <v>710</v>
      </c>
      <c r="ED208" s="43">
        <f t="shared" si="562"/>
        <v>0</v>
      </c>
      <c r="EE208" s="43">
        <v>640</v>
      </c>
      <c r="EF208" s="43"/>
      <c r="EG208" s="43">
        <f t="shared" si="423"/>
        <v>90.14</v>
      </c>
      <c r="EH208" s="43" t="e">
        <f t="shared" si="423"/>
        <v>#DIV/0!</v>
      </c>
      <c r="EI208" s="43">
        <f t="shared" si="563"/>
        <v>70</v>
      </c>
      <c r="EJ208" s="43">
        <f t="shared" si="563"/>
        <v>0</v>
      </c>
      <c r="EK208" s="43">
        <f t="shared" si="564"/>
        <v>58.18</v>
      </c>
      <c r="EL208" s="43">
        <f t="shared" si="564"/>
        <v>0</v>
      </c>
      <c r="EM208" s="43">
        <f t="shared" si="565"/>
        <v>-11.82</v>
      </c>
      <c r="EN208" s="43">
        <f t="shared" si="565"/>
        <v>0</v>
      </c>
      <c r="EO208" s="43">
        <v>190</v>
      </c>
      <c r="EP208" s="43">
        <v>0</v>
      </c>
      <c r="EQ208" s="5"/>
      <c r="ER208" s="5"/>
      <c r="ES208" s="5"/>
      <c r="ET208" s="5"/>
      <c r="EU208" s="5">
        <f t="shared" si="442"/>
        <v>100</v>
      </c>
      <c r="EV208" s="5">
        <f t="shared" si="442"/>
        <v>0</v>
      </c>
      <c r="EW208" s="5">
        <v>1000</v>
      </c>
      <c r="EY208" s="5">
        <v>1150</v>
      </c>
    </row>
    <row r="209" spans="1:162" ht="18.75" x14ac:dyDescent="0.25">
      <c r="A209" s="68"/>
      <c r="B209" s="68" t="s">
        <v>446</v>
      </c>
      <c r="C209" s="91" t="s">
        <v>136</v>
      </c>
      <c r="D209" s="67" t="s">
        <v>444</v>
      </c>
      <c r="E209" s="69" t="s">
        <v>447</v>
      </c>
      <c r="F209" s="70">
        <v>1787.61</v>
      </c>
      <c r="G209" s="70">
        <v>77.91</v>
      </c>
      <c r="H209" s="70">
        <v>1669.8899999999999</v>
      </c>
      <c r="I209" s="70">
        <v>47.91</v>
      </c>
      <c r="J209" s="71">
        <f t="shared" ref="J209:AA209" si="587">+J207+J208</f>
        <v>1945</v>
      </c>
      <c r="K209" s="71">
        <f t="shared" si="587"/>
        <v>0</v>
      </c>
      <c r="L209" s="71">
        <f t="shared" si="587"/>
        <v>0</v>
      </c>
      <c r="M209" s="71">
        <f t="shared" si="587"/>
        <v>1945</v>
      </c>
      <c r="N209" s="71">
        <f t="shared" si="587"/>
        <v>0</v>
      </c>
      <c r="O209" s="71">
        <f t="shared" si="587"/>
        <v>0</v>
      </c>
      <c r="P209" s="71">
        <f t="shared" si="587"/>
        <v>0</v>
      </c>
      <c r="Q209" s="71">
        <f t="shared" si="587"/>
        <v>0</v>
      </c>
      <c r="R209" s="71">
        <f t="shared" si="587"/>
        <v>1945</v>
      </c>
      <c r="S209" s="71">
        <f t="shared" si="587"/>
        <v>170</v>
      </c>
      <c r="T209" s="71">
        <f t="shared" si="587"/>
        <v>0</v>
      </c>
      <c r="U209" s="71">
        <f t="shared" si="587"/>
        <v>0</v>
      </c>
      <c r="V209" s="71">
        <f t="shared" si="587"/>
        <v>1767.24</v>
      </c>
      <c r="W209" s="71">
        <f t="shared" si="587"/>
        <v>49.48</v>
      </c>
      <c r="X209" s="71">
        <f t="shared" si="587"/>
        <v>177.76</v>
      </c>
      <c r="Y209" s="71">
        <f t="shared" si="587"/>
        <v>120.52000000000001</v>
      </c>
      <c r="Z209" s="71">
        <f t="shared" si="587"/>
        <v>1747.47</v>
      </c>
      <c r="AA209" s="71">
        <f t="shared" si="587"/>
        <v>0</v>
      </c>
      <c r="AB209" s="70">
        <f t="shared" si="547"/>
        <v>1747.47</v>
      </c>
      <c r="AC209" s="43">
        <f t="shared" si="548"/>
        <v>0</v>
      </c>
      <c r="AD209" s="70">
        <f t="shared" ref="AD209:CO209" si="588">+AD207+AD208</f>
        <v>1747.47</v>
      </c>
      <c r="AE209" s="70">
        <f t="shared" si="588"/>
        <v>300</v>
      </c>
      <c r="AF209" s="70">
        <f t="shared" si="588"/>
        <v>153.37</v>
      </c>
      <c r="AG209" s="70">
        <f t="shared" si="588"/>
        <v>437</v>
      </c>
      <c r="AH209" s="70">
        <f t="shared" si="588"/>
        <v>12</v>
      </c>
      <c r="AI209" s="96">
        <f t="shared" si="588"/>
        <v>145</v>
      </c>
      <c r="AJ209" s="70">
        <f t="shared" si="588"/>
        <v>4</v>
      </c>
      <c r="AK209" s="70">
        <f t="shared" si="588"/>
        <v>0</v>
      </c>
      <c r="AL209" s="70">
        <f t="shared" si="588"/>
        <v>0</v>
      </c>
      <c r="AM209" s="70">
        <f t="shared" si="588"/>
        <v>436.87</v>
      </c>
      <c r="AN209" s="70">
        <f t="shared" si="588"/>
        <v>74</v>
      </c>
      <c r="AO209" s="70">
        <f t="shared" si="588"/>
        <v>0</v>
      </c>
      <c r="AP209" s="70">
        <f t="shared" si="588"/>
        <v>0</v>
      </c>
      <c r="AQ209" s="70">
        <f t="shared" si="588"/>
        <v>873.87</v>
      </c>
      <c r="AR209" s="70">
        <f t="shared" si="588"/>
        <v>86</v>
      </c>
      <c r="AS209" s="70">
        <f t="shared" si="588"/>
        <v>0</v>
      </c>
      <c r="AT209" s="70">
        <f t="shared" si="588"/>
        <v>0</v>
      </c>
      <c r="AU209" s="70">
        <f t="shared" si="588"/>
        <v>436.87</v>
      </c>
      <c r="AV209" s="70">
        <f t="shared" si="588"/>
        <v>75</v>
      </c>
      <c r="AW209" s="70">
        <f t="shared" si="588"/>
        <v>0</v>
      </c>
      <c r="AX209" s="70">
        <f t="shared" si="588"/>
        <v>0</v>
      </c>
      <c r="AY209" s="70">
        <f t="shared" si="588"/>
        <v>1455.74</v>
      </c>
      <c r="AZ209" s="70">
        <f t="shared" si="588"/>
        <v>165</v>
      </c>
      <c r="BA209" s="70">
        <f t="shared" si="588"/>
        <v>1620.74</v>
      </c>
      <c r="BB209" s="70">
        <f t="shared" si="588"/>
        <v>1349.81</v>
      </c>
      <c r="BC209" s="70">
        <f t="shared" si="588"/>
        <v>161.41999999999999</v>
      </c>
      <c r="BD209" s="70">
        <f t="shared" si="588"/>
        <v>105.93000000000006</v>
      </c>
      <c r="BE209" s="70">
        <f t="shared" si="588"/>
        <v>3.5800000000000125</v>
      </c>
      <c r="BF209" s="70">
        <f t="shared" si="588"/>
        <v>269.96000000000004</v>
      </c>
      <c r="BG209" s="96">
        <f t="shared" si="588"/>
        <v>32.28</v>
      </c>
      <c r="BH209" s="96">
        <f t="shared" si="588"/>
        <v>82.02000000000001</v>
      </c>
      <c r="BI209" s="96">
        <f t="shared" si="588"/>
        <v>14.35</v>
      </c>
      <c r="BJ209" s="96">
        <f t="shared" si="588"/>
        <v>0</v>
      </c>
      <c r="BK209" s="96">
        <f t="shared" si="588"/>
        <v>0</v>
      </c>
      <c r="BL209" s="96">
        <f t="shared" si="588"/>
        <v>1537.76</v>
      </c>
      <c r="BM209" s="96">
        <f t="shared" si="588"/>
        <v>179.35</v>
      </c>
      <c r="BN209" s="96">
        <f t="shared" si="588"/>
        <v>1717.1100000000001</v>
      </c>
      <c r="BO209" s="96">
        <f t="shared" si="588"/>
        <v>1421.4099999999999</v>
      </c>
      <c r="BP209" s="96">
        <f t="shared" si="588"/>
        <v>179.62</v>
      </c>
      <c r="BQ209" s="70">
        <f t="shared" si="588"/>
        <v>116.35000000000002</v>
      </c>
      <c r="BR209" s="70">
        <f t="shared" si="588"/>
        <v>-0.27000000000001023</v>
      </c>
      <c r="BS209" s="70">
        <f t="shared" si="588"/>
        <v>129.22</v>
      </c>
      <c r="BT209" s="70">
        <f t="shared" si="588"/>
        <v>16.329999999999998</v>
      </c>
      <c r="BU209" s="70">
        <f t="shared" si="588"/>
        <v>52.26</v>
      </c>
      <c r="BV209" s="70">
        <f t="shared" si="588"/>
        <v>85.65</v>
      </c>
      <c r="BW209" s="70">
        <f t="shared" si="588"/>
        <v>112</v>
      </c>
      <c r="BX209" s="70">
        <f t="shared" si="588"/>
        <v>0</v>
      </c>
      <c r="BY209" s="70">
        <f t="shared" si="588"/>
        <v>0</v>
      </c>
      <c r="BZ209" s="70">
        <f t="shared" si="588"/>
        <v>0</v>
      </c>
      <c r="CA209" s="70">
        <f t="shared" si="588"/>
        <v>1702.02</v>
      </c>
      <c r="CB209" s="70">
        <f t="shared" si="588"/>
        <v>265</v>
      </c>
      <c r="CC209" s="70">
        <f t="shared" si="588"/>
        <v>1872.22</v>
      </c>
      <c r="CD209" s="70">
        <f t="shared" si="588"/>
        <v>304.75</v>
      </c>
      <c r="CE209" s="70">
        <f t="shared" si="588"/>
        <v>156</v>
      </c>
      <c r="CF209" s="70">
        <f t="shared" si="588"/>
        <v>25</v>
      </c>
      <c r="CG209" s="70">
        <f t="shared" si="588"/>
        <v>425.51</v>
      </c>
      <c r="CH209" s="96">
        <f t="shared" si="588"/>
        <v>66.25</v>
      </c>
      <c r="CI209" s="70">
        <f t="shared" si="588"/>
        <v>0</v>
      </c>
      <c r="CJ209" s="70">
        <f t="shared" si="588"/>
        <v>0</v>
      </c>
      <c r="CK209" s="70">
        <f t="shared" si="588"/>
        <v>475</v>
      </c>
      <c r="CL209" s="70">
        <f t="shared" si="588"/>
        <v>0</v>
      </c>
      <c r="CM209" s="70">
        <f t="shared" si="588"/>
        <v>0</v>
      </c>
      <c r="CN209" s="70">
        <f t="shared" si="588"/>
        <v>150</v>
      </c>
      <c r="CO209" s="70">
        <f t="shared" si="588"/>
        <v>2065</v>
      </c>
      <c r="CP209" s="70">
        <f t="shared" ref="CP209:FA209" si="589">+CP207+CP208</f>
        <v>175</v>
      </c>
      <c r="CQ209" s="70">
        <f t="shared" si="589"/>
        <v>1900</v>
      </c>
      <c r="CR209" s="70">
        <f t="shared" si="589"/>
        <v>175</v>
      </c>
      <c r="CS209" s="70">
        <f t="shared" si="589"/>
        <v>1900</v>
      </c>
      <c r="CT209" s="70">
        <f t="shared" si="589"/>
        <v>200</v>
      </c>
      <c r="CU209" s="70">
        <f t="shared" si="589"/>
        <v>1900</v>
      </c>
      <c r="CV209" s="70">
        <f t="shared" si="589"/>
        <v>200</v>
      </c>
      <c r="CW209" s="70">
        <f t="shared" si="589"/>
        <v>475</v>
      </c>
      <c r="CX209" s="70">
        <f t="shared" si="589"/>
        <v>25</v>
      </c>
      <c r="CY209" s="70">
        <f t="shared" si="589"/>
        <v>0</v>
      </c>
      <c r="CZ209" s="70">
        <f t="shared" si="589"/>
        <v>0</v>
      </c>
      <c r="DA209" s="70">
        <f t="shared" si="589"/>
        <v>1106</v>
      </c>
      <c r="DB209" s="70">
        <f t="shared" si="589"/>
        <v>200</v>
      </c>
      <c r="DC209" s="70">
        <f t="shared" si="589"/>
        <v>895.99</v>
      </c>
      <c r="DD209" s="70">
        <f t="shared" si="589"/>
        <v>176.94</v>
      </c>
      <c r="DE209" s="70">
        <f t="shared" si="589"/>
        <v>210.01</v>
      </c>
      <c r="DF209" s="70">
        <f t="shared" si="589"/>
        <v>23.060000000000002</v>
      </c>
      <c r="DG209" s="70">
        <f t="shared" si="589"/>
        <v>440</v>
      </c>
      <c r="DH209" s="70">
        <f t="shared" si="589"/>
        <v>47.5</v>
      </c>
      <c r="DI209" s="70">
        <f t="shared" si="589"/>
        <v>227.49</v>
      </c>
      <c r="DJ209" s="70">
        <f t="shared" si="589"/>
        <v>0</v>
      </c>
      <c r="DK209" s="70">
        <f t="shared" si="589"/>
        <v>0</v>
      </c>
      <c r="DL209" s="70">
        <f t="shared" si="589"/>
        <v>0</v>
      </c>
      <c r="DM209" s="70">
        <f t="shared" si="589"/>
        <v>1333.49</v>
      </c>
      <c r="DN209" s="70">
        <f t="shared" si="589"/>
        <v>200</v>
      </c>
      <c r="DO209" s="70">
        <f t="shared" si="589"/>
        <v>1262.27</v>
      </c>
      <c r="DP209" s="70">
        <f t="shared" si="589"/>
        <v>187.14</v>
      </c>
      <c r="DQ209" s="70">
        <f t="shared" si="589"/>
        <v>71.22</v>
      </c>
      <c r="DR209" s="70">
        <f t="shared" si="589"/>
        <v>12.86</v>
      </c>
      <c r="DS209" s="70">
        <f t="shared" si="589"/>
        <v>126.227</v>
      </c>
      <c r="DT209" s="70">
        <f t="shared" si="589"/>
        <v>18.713999999999999</v>
      </c>
      <c r="DU209" s="70">
        <f t="shared" si="589"/>
        <v>55.006999999999998</v>
      </c>
      <c r="DV209" s="70">
        <f t="shared" si="589"/>
        <v>5.8539999999999992</v>
      </c>
      <c r="DW209" s="70">
        <f t="shared" si="589"/>
        <v>0</v>
      </c>
      <c r="DX209" s="70">
        <f t="shared" si="589"/>
        <v>0</v>
      </c>
      <c r="DY209" s="70">
        <f t="shared" si="589"/>
        <v>58.51</v>
      </c>
      <c r="DZ209" s="70">
        <f t="shared" si="589"/>
        <v>0</v>
      </c>
      <c r="EA209" s="70">
        <f t="shared" si="589"/>
        <v>6</v>
      </c>
      <c r="EB209" s="96">
        <f t="shared" si="589"/>
        <v>0</v>
      </c>
      <c r="EC209" s="70">
        <f t="shared" si="589"/>
        <v>1398</v>
      </c>
      <c r="ED209" s="70">
        <f t="shared" si="589"/>
        <v>200</v>
      </c>
      <c r="EE209" s="70">
        <f t="shared" si="589"/>
        <v>1322.2</v>
      </c>
      <c r="EF209" s="70">
        <f t="shared" si="589"/>
        <v>189.54</v>
      </c>
      <c r="EG209" s="70">
        <f t="shared" si="589"/>
        <v>189.3</v>
      </c>
      <c r="EH209" s="70" t="e">
        <f t="shared" si="589"/>
        <v>#DIV/0!</v>
      </c>
      <c r="EI209" s="70">
        <f t="shared" si="589"/>
        <v>75.8</v>
      </c>
      <c r="EJ209" s="70">
        <f t="shared" si="589"/>
        <v>10.46</v>
      </c>
      <c r="EK209" s="70">
        <f t="shared" si="589"/>
        <v>120.2</v>
      </c>
      <c r="EL209" s="70">
        <f t="shared" si="589"/>
        <v>17.23</v>
      </c>
      <c r="EM209" s="70">
        <f t="shared" si="589"/>
        <v>44.400000000000006</v>
      </c>
      <c r="EN209" s="70">
        <f t="shared" si="589"/>
        <v>6.77</v>
      </c>
      <c r="EO209" s="70">
        <f t="shared" si="589"/>
        <v>260</v>
      </c>
      <c r="EP209" s="70">
        <f t="shared" si="589"/>
        <v>11</v>
      </c>
      <c r="EQ209" s="66">
        <f t="shared" si="589"/>
        <v>0</v>
      </c>
      <c r="ER209" s="5"/>
      <c r="ES209" s="46">
        <f t="shared" si="589"/>
        <v>0</v>
      </c>
      <c r="ET209" s="46">
        <f t="shared" si="589"/>
        <v>0</v>
      </c>
      <c r="EU209" s="5">
        <f t="shared" si="442"/>
        <v>102</v>
      </c>
      <c r="EV209" s="5">
        <f t="shared" si="442"/>
        <v>-21</v>
      </c>
      <c r="EW209" s="46">
        <f t="shared" si="589"/>
        <v>1760</v>
      </c>
      <c r="EX209" s="46">
        <f t="shared" si="589"/>
        <v>190</v>
      </c>
      <c r="EY209" s="46">
        <f t="shared" si="589"/>
        <v>1950</v>
      </c>
      <c r="EZ209" s="46">
        <f t="shared" si="589"/>
        <v>130</v>
      </c>
      <c r="FA209" s="46">
        <f t="shared" si="589"/>
        <v>0</v>
      </c>
      <c r="FB209" s="46">
        <f t="shared" ref="FB209:FE209" si="590">+FB207+FB208</f>
        <v>0</v>
      </c>
      <c r="FC209" s="46">
        <f t="shared" si="590"/>
        <v>0</v>
      </c>
      <c r="FD209" s="46">
        <f t="shared" si="590"/>
        <v>0</v>
      </c>
      <c r="FE209" s="46">
        <f t="shared" si="590"/>
        <v>0</v>
      </c>
    </row>
    <row r="210" spans="1:162" ht="18.75" x14ac:dyDescent="0.25">
      <c r="A210" s="37">
        <v>20</v>
      </c>
      <c r="B210" s="37"/>
      <c r="C210" s="91" t="s">
        <v>112</v>
      </c>
      <c r="D210" s="38" t="s">
        <v>448</v>
      </c>
      <c r="E210" s="39"/>
      <c r="F210" s="40">
        <v>994</v>
      </c>
      <c r="G210" s="40">
        <v>33.879999999999995</v>
      </c>
      <c r="H210" s="40">
        <v>994</v>
      </c>
      <c r="I210" s="40">
        <v>34.129999999999995</v>
      </c>
      <c r="J210" s="41">
        <v>1120</v>
      </c>
      <c r="K210" s="41">
        <v>0</v>
      </c>
      <c r="L210" s="41">
        <v>0</v>
      </c>
      <c r="M210" s="41">
        <f t="shared" si="585"/>
        <v>1120</v>
      </c>
      <c r="N210" s="41">
        <v>0</v>
      </c>
      <c r="O210" s="41">
        <v>0</v>
      </c>
      <c r="P210" s="41">
        <v>0</v>
      </c>
      <c r="Q210" s="41">
        <f t="shared" ref="Q210:Q212" si="591">N210+O210+P210</f>
        <v>0</v>
      </c>
      <c r="R210" s="41">
        <f t="shared" si="543"/>
        <v>1120</v>
      </c>
      <c r="S210" s="41">
        <v>0</v>
      </c>
      <c r="T210" s="92"/>
      <c r="U210" s="92"/>
      <c r="V210" s="40">
        <f t="shared" ref="V210:V212" si="592">ROUND(H210*1.0583,2)</f>
        <v>1051.95</v>
      </c>
      <c r="W210" s="40">
        <f t="shared" ref="W210:W212" si="593">ROUND(I210*1.0327,2)</f>
        <v>35.25</v>
      </c>
      <c r="X210" s="43">
        <f t="shared" si="529"/>
        <v>68.049999999999955</v>
      </c>
      <c r="Y210" s="43">
        <f t="shared" si="529"/>
        <v>-35.25</v>
      </c>
      <c r="Z210" s="43">
        <v>1051.95</v>
      </c>
      <c r="AA210" s="43"/>
      <c r="AB210" s="43">
        <f t="shared" si="547"/>
        <v>1051.95</v>
      </c>
      <c r="AC210" s="43">
        <f t="shared" si="548"/>
        <v>0</v>
      </c>
      <c r="AD210" s="43">
        <f t="shared" ref="AD210:AE212" si="594">IF(X210&gt;0,V210,R210)</f>
        <v>1051.95</v>
      </c>
      <c r="AE210" s="43">
        <f t="shared" si="594"/>
        <v>0</v>
      </c>
      <c r="AF210" s="43">
        <f t="shared" si="570"/>
        <v>0</v>
      </c>
      <c r="AG210" s="43">
        <f t="shared" si="530"/>
        <v>263</v>
      </c>
      <c r="AH210" s="43">
        <f t="shared" si="530"/>
        <v>0</v>
      </c>
      <c r="AI210" s="93">
        <f t="shared" si="531"/>
        <v>88</v>
      </c>
      <c r="AJ210" s="43">
        <f t="shared" si="531"/>
        <v>0</v>
      </c>
      <c r="AK210" s="43"/>
      <c r="AL210" s="43"/>
      <c r="AM210" s="43">
        <f t="shared" si="571"/>
        <v>262.99</v>
      </c>
      <c r="AN210" s="43">
        <f t="shared" si="572"/>
        <v>0</v>
      </c>
      <c r="AO210" s="43"/>
      <c r="AP210" s="43"/>
      <c r="AQ210" s="43">
        <f t="shared" si="532"/>
        <v>525.99</v>
      </c>
      <c r="AR210" s="43">
        <f t="shared" si="532"/>
        <v>0</v>
      </c>
      <c r="AS210" s="43"/>
      <c r="AT210" s="43"/>
      <c r="AU210" s="43">
        <f t="shared" si="424"/>
        <v>262.99</v>
      </c>
      <c r="AV210" s="43">
        <f t="shared" si="424"/>
        <v>0</v>
      </c>
      <c r="AW210" s="43"/>
      <c r="AX210" s="43"/>
      <c r="AY210" s="43">
        <f t="shared" si="520"/>
        <v>876.98</v>
      </c>
      <c r="AZ210" s="43">
        <f t="shared" si="520"/>
        <v>0</v>
      </c>
      <c r="BA210" s="43">
        <f t="shared" si="521"/>
        <v>876.98</v>
      </c>
      <c r="BB210" s="60">
        <v>916.78</v>
      </c>
      <c r="BC210" s="60"/>
      <c r="BD210" s="60">
        <f t="shared" si="522"/>
        <v>-39.799999999999955</v>
      </c>
      <c r="BE210" s="60">
        <f t="shared" si="522"/>
        <v>0</v>
      </c>
      <c r="BF210" s="60">
        <f t="shared" si="523"/>
        <v>183.36</v>
      </c>
      <c r="BG210" s="60">
        <f t="shared" si="523"/>
        <v>0</v>
      </c>
      <c r="BH210" s="43">
        <v>111.58</v>
      </c>
      <c r="BI210" s="43">
        <v>0</v>
      </c>
      <c r="BJ210" s="43"/>
      <c r="BK210" s="43"/>
      <c r="BL210" s="43">
        <f t="shared" si="545"/>
        <v>988.56000000000006</v>
      </c>
      <c r="BM210" s="43">
        <f t="shared" si="545"/>
        <v>0</v>
      </c>
      <c r="BN210" s="43">
        <f t="shared" si="573"/>
        <v>988.56000000000006</v>
      </c>
      <c r="BO210" s="43">
        <v>1008.66</v>
      </c>
      <c r="BP210" s="93"/>
      <c r="BQ210" s="43">
        <f t="shared" si="549"/>
        <v>-20.099999999999909</v>
      </c>
      <c r="BR210" s="43">
        <f t="shared" si="549"/>
        <v>0</v>
      </c>
      <c r="BS210" s="43">
        <f t="shared" si="550"/>
        <v>91.7</v>
      </c>
      <c r="BT210" s="43">
        <f t="shared" si="550"/>
        <v>0</v>
      </c>
      <c r="BU210" s="43">
        <f t="shared" si="583"/>
        <v>111.79999999999991</v>
      </c>
      <c r="BV210" s="43">
        <v>0</v>
      </c>
      <c r="BW210" s="43">
        <v>3.19</v>
      </c>
      <c r="BX210" s="43">
        <v>0.45</v>
      </c>
      <c r="BY210" s="43"/>
      <c r="BZ210" s="43"/>
      <c r="CA210" s="43">
        <v>1103.55</v>
      </c>
      <c r="CB210" s="43">
        <v>0.45</v>
      </c>
      <c r="CC210" s="92">
        <v>1213.9100000000001</v>
      </c>
      <c r="CD210" s="92">
        <v>0.52</v>
      </c>
      <c r="CE210" s="92">
        <v>101</v>
      </c>
      <c r="CF210" s="92">
        <v>0</v>
      </c>
      <c r="CG210" s="92">
        <f t="shared" si="551"/>
        <v>275.89</v>
      </c>
      <c r="CH210" s="92">
        <f t="shared" si="551"/>
        <v>0.11</v>
      </c>
      <c r="CI210" s="43"/>
      <c r="CJ210" s="43"/>
      <c r="CK210" s="72">
        <f>395.41-50</f>
        <v>345.41</v>
      </c>
      <c r="CL210" s="72">
        <f>175.6-75.6</f>
        <v>100</v>
      </c>
      <c r="CM210" s="72"/>
      <c r="CN210" s="72">
        <v>62.95</v>
      </c>
      <c r="CO210" s="43">
        <v>1391.19</v>
      </c>
      <c r="CP210" s="43">
        <v>390</v>
      </c>
      <c r="CQ210" s="43">
        <f t="shared" si="552"/>
        <v>1381.64</v>
      </c>
      <c r="CR210" s="43">
        <f t="shared" si="552"/>
        <v>400</v>
      </c>
      <c r="CS210" s="43">
        <f t="shared" si="553"/>
        <v>1381.64</v>
      </c>
      <c r="CT210" s="43">
        <f t="shared" si="553"/>
        <v>390</v>
      </c>
      <c r="CU210" s="43">
        <v>1331.64</v>
      </c>
      <c r="CV210" s="43">
        <v>229</v>
      </c>
      <c r="CW210" s="43">
        <f t="shared" si="554"/>
        <v>332.91</v>
      </c>
      <c r="CX210" s="43">
        <f>ROUND(CV210*25%,2)-57.25</f>
        <v>0</v>
      </c>
      <c r="CY210" s="43"/>
      <c r="CZ210" s="43"/>
      <c r="DA210" s="43">
        <f t="shared" si="555"/>
        <v>779.32</v>
      </c>
      <c r="DB210" s="43">
        <f t="shared" si="555"/>
        <v>162.94999999999999</v>
      </c>
      <c r="DC210" s="43">
        <v>742.15</v>
      </c>
      <c r="DD210" s="43">
        <v>162.94999999999999</v>
      </c>
      <c r="DE210" s="43">
        <f t="shared" si="556"/>
        <v>37.170000000000073</v>
      </c>
      <c r="DF210" s="43">
        <f t="shared" si="556"/>
        <v>0</v>
      </c>
      <c r="DG210" s="43">
        <f t="shared" ref="DG210:DH212" si="595">ROUND(0.25*(MIN(CU210,EW210)),2)</f>
        <v>332.91</v>
      </c>
      <c r="DH210" s="43">
        <f t="shared" si="595"/>
        <v>57.25</v>
      </c>
      <c r="DI210" s="43">
        <f t="shared" ref="DI210:DI212" si="596">+DG210-DE210</f>
        <v>295.73999999999995</v>
      </c>
      <c r="DJ210" s="43">
        <f>+DH210-DF210</f>
        <v>57.25</v>
      </c>
      <c r="DK210" s="43"/>
      <c r="DL210" s="43"/>
      <c r="DM210" s="43">
        <f t="shared" si="558"/>
        <v>1075.06</v>
      </c>
      <c r="DN210" s="43">
        <f t="shared" si="558"/>
        <v>220.2</v>
      </c>
      <c r="DO210" s="94">
        <v>1075.79</v>
      </c>
      <c r="DP210" s="95">
        <v>162.94999999999999</v>
      </c>
      <c r="DQ210" s="60">
        <f t="shared" si="559"/>
        <v>-0.73</v>
      </c>
      <c r="DR210" s="60">
        <f t="shared" si="559"/>
        <v>57.25</v>
      </c>
      <c r="DS210" s="60">
        <f t="shared" si="560"/>
        <v>107.57899999999999</v>
      </c>
      <c r="DT210" s="60">
        <f t="shared" si="560"/>
        <v>16.294999999999998</v>
      </c>
      <c r="DU210" s="60">
        <f t="shared" si="561"/>
        <v>108.309</v>
      </c>
      <c r="DV210" s="60">
        <f t="shared" si="561"/>
        <v>-40.954999999999998</v>
      </c>
      <c r="DW210" s="60"/>
      <c r="DX210" s="60"/>
      <c r="DY210" s="60">
        <f t="shared" si="569"/>
        <v>108.31</v>
      </c>
      <c r="DZ210" s="60">
        <v>0</v>
      </c>
      <c r="EA210" s="60"/>
      <c r="EB210" s="60">
        <v>3.32</v>
      </c>
      <c r="EC210" s="43">
        <f t="shared" si="562"/>
        <v>1183.3699999999999</v>
      </c>
      <c r="ED210" s="43">
        <f t="shared" si="562"/>
        <v>223.51999999999998</v>
      </c>
      <c r="EE210" s="43">
        <v>1176.81</v>
      </c>
      <c r="EF210" s="43">
        <v>223.52</v>
      </c>
      <c r="EG210" s="43">
        <f t="shared" si="423"/>
        <v>99.45</v>
      </c>
      <c r="EH210" s="43">
        <f t="shared" si="423"/>
        <v>100</v>
      </c>
      <c r="EI210" s="43">
        <f t="shared" si="563"/>
        <v>6.56</v>
      </c>
      <c r="EJ210" s="43">
        <f t="shared" si="563"/>
        <v>0</v>
      </c>
      <c r="EK210" s="43">
        <f t="shared" si="564"/>
        <v>106.98</v>
      </c>
      <c r="EL210" s="43">
        <f t="shared" si="564"/>
        <v>20.32</v>
      </c>
      <c r="EM210" s="43">
        <f t="shared" si="565"/>
        <v>100.42</v>
      </c>
      <c r="EN210" s="43">
        <f t="shared" si="565"/>
        <v>20.32</v>
      </c>
      <c r="EO210" s="43">
        <v>139.5</v>
      </c>
      <c r="EP210" s="43">
        <v>0</v>
      </c>
      <c r="EQ210" s="5"/>
      <c r="ER210" s="5"/>
      <c r="ES210" s="5"/>
      <c r="ET210" s="5"/>
      <c r="EU210" s="5">
        <f t="shared" si="442"/>
        <v>91.900000000000091</v>
      </c>
      <c r="EV210" s="5">
        <f t="shared" si="442"/>
        <v>5.4800000000000182</v>
      </c>
      <c r="EW210" s="5">
        <v>1414.77</v>
      </c>
      <c r="EX210" s="5">
        <v>229</v>
      </c>
      <c r="EY210" s="5">
        <v>1597.97</v>
      </c>
      <c r="EZ210" s="5">
        <v>60</v>
      </c>
    </row>
    <row r="211" spans="1:162" ht="18.75" x14ac:dyDescent="0.25">
      <c r="A211" s="37">
        <v>21</v>
      </c>
      <c r="B211" s="37"/>
      <c r="C211" s="91" t="s">
        <v>112</v>
      </c>
      <c r="D211" s="38" t="s">
        <v>449</v>
      </c>
      <c r="E211" s="39"/>
      <c r="F211" s="40">
        <v>1807.6299999999997</v>
      </c>
      <c r="G211" s="40">
        <v>0</v>
      </c>
      <c r="H211" s="40">
        <v>1807.6299999999997</v>
      </c>
      <c r="I211" s="40">
        <v>0</v>
      </c>
      <c r="J211" s="41">
        <v>2000</v>
      </c>
      <c r="K211" s="41">
        <v>0</v>
      </c>
      <c r="L211" s="41">
        <v>0</v>
      </c>
      <c r="M211" s="41">
        <f t="shared" si="585"/>
        <v>2000</v>
      </c>
      <c r="N211" s="41">
        <v>0</v>
      </c>
      <c r="O211" s="41">
        <v>0</v>
      </c>
      <c r="P211" s="41">
        <v>0</v>
      </c>
      <c r="Q211" s="41">
        <f t="shared" si="591"/>
        <v>0</v>
      </c>
      <c r="R211" s="41">
        <f t="shared" si="543"/>
        <v>2000</v>
      </c>
      <c r="S211" s="41">
        <v>0</v>
      </c>
      <c r="T211" s="92"/>
      <c r="U211" s="92"/>
      <c r="V211" s="40">
        <f t="shared" si="592"/>
        <v>1913.01</v>
      </c>
      <c r="W211" s="40">
        <f t="shared" si="593"/>
        <v>0</v>
      </c>
      <c r="X211" s="43">
        <f t="shared" si="529"/>
        <v>86.990000000000009</v>
      </c>
      <c r="Y211" s="43">
        <f t="shared" si="529"/>
        <v>0</v>
      </c>
      <c r="Z211" s="43">
        <v>1913.01</v>
      </c>
      <c r="AA211" s="43"/>
      <c r="AB211" s="43">
        <f t="shared" si="547"/>
        <v>1913.01</v>
      </c>
      <c r="AC211" s="43">
        <f t="shared" si="548"/>
        <v>0</v>
      </c>
      <c r="AD211" s="43">
        <f t="shared" si="594"/>
        <v>1913.01</v>
      </c>
      <c r="AE211" s="43">
        <f t="shared" si="594"/>
        <v>0</v>
      </c>
      <c r="AF211" s="43">
        <f t="shared" si="570"/>
        <v>0</v>
      </c>
      <c r="AG211" s="43">
        <f t="shared" si="530"/>
        <v>478</v>
      </c>
      <c r="AH211" s="43">
        <f t="shared" si="530"/>
        <v>0</v>
      </c>
      <c r="AI211" s="93">
        <f t="shared" si="531"/>
        <v>159</v>
      </c>
      <c r="AJ211" s="43">
        <f t="shared" si="531"/>
        <v>0</v>
      </c>
      <c r="AK211" s="43"/>
      <c r="AL211" s="43"/>
      <c r="AM211" s="43">
        <f t="shared" si="571"/>
        <v>478.25</v>
      </c>
      <c r="AN211" s="43">
        <f t="shared" si="572"/>
        <v>0</v>
      </c>
      <c r="AO211" s="43"/>
      <c r="AP211" s="43"/>
      <c r="AQ211" s="43">
        <f t="shared" si="532"/>
        <v>956.25</v>
      </c>
      <c r="AR211" s="43">
        <f t="shared" si="532"/>
        <v>0</v>
      </c>
      <c r="AS211" s="43"/>
      <c r="AT211" s="43"/>
      <c r="AU211" s="43">
        <f t="shared" si="424"/>
        <v>478.25</v>
      </c>
      <c r="AV211" s="43">
        <f t="shared" si="424"/>
        <v>0</v>
      </c>
      <c r="AW211" s="43"/>
      <c r="AX211" s="43"/>
      <c r="AY211" s="43">
        <f t="shared" si="520"/>
        <v>1593.5</v>
      </c>
      <c r="AZ211" s="43">
        <f t="shared" si="520"/>
        <v>0</v>
      </c>
      <c r="BA211" s="43">
        <f t="shared" si="521"/>
        <v>1593.5</v>
      </c>
      <c r="BB211" s="60">
        <v>1595.28</v>
      </c>
      <c r="BC211" s="60"/>
      <c r="BD211" s="60">
        <f t="shared" si="522"/>
        <v>-1.7799999999999727</v>
      </c>
      <c r="BE211" s="60">
        <f t="shared" si="522"/>
        <v>0</v>
      </c>
      <c r="BF211" s="60">
        <f t="shared" si="523"/>
        <v>319.06</v>
      </c>
      <c r="BG211" s="60">
        <f t="shared" si="523"/>
        <v>0</v>
      </c>
      <c r="BH211" s="43">
        <v>159.76</v>
      </c>
      <c r="BI211" s="43">
        <v>0</v>
      </c>
      <c r="BJ211" s="43"/>
      <c r="BK211" s="43"/>
      <c r="BL211" s="43">
        <f t="shared" si="545"/>
        <v>1753.26</v>
      </c>
      <c r="BM211" s="43">
        <f t="shared" si="545"/>
        <v>0</v>
      </c>
      <c r="BN211" s="43">
        <f t="shared" si="573"/>
        <v>1753.26</v>
      </c>
      <c r="BO211" s="43">
        <v>1595.28</v>
      </c>
      <c r="BP211" s="93"/>
      <c r="BQ211" s="43">
        <f t="shared" si="549"/>
        <v>157.98000000000002</v>
      </c>
      <c r="BR211" s="43">
        <f t="shared" si="549"/>
        <v>0</v>
      </c>
      <c r="BS211" s="43">
        <f t="shared" si="550"/>
        <v>145.03</v>
      </c>
      <c r="BT211" s="43">
        <f t="shared" si="550"/>
        <v>0</v>
      </c>
      <c r="BU211" s="43">
        <f t="shared" si="583"/>
        <v>-12.950000000000017</v>
      </c>
      <c r="BV211" s="43">
        <v>0</v>
      </c>
      <c r="BW211" s="43">
        <f>51+121.7</f>
        <v>172.7</v>
      </c>
      <c r="BX211" s="43"/>
      <c r="BY211" s="43"/>
      <c r="BZ211" s="43"/>
      <c r="CA211" s="43">
        <v>1913.01</v>
      </c>
      <c r="CB211" s="43">
        <v>0</v>
      </c>
      <c r="CC211" s="92">
        <v>2104.31</v>
      </c>
      <c r="CD211" s="92">
        <v>0</v>
      </c>
      <c r="CE211" s="92">
        <v>175</v>
      </c>
      <c r="CF211" s="92">
        <v>0</v>
      </c>
      <c r="CG211" s="92">
        <f t="shared" si="551"/>
        <v>478.25</v>
      </c>
      <c r="CH211" s="92">
        <f t="shared" si="551"/>
        <v>0</v>
      </c>
      <c r="CI211" s="43"/>
      <c r="CJ211" s="43"/>
      <c r="CK211" s="43">
        <v>470</v>
      </c>
      <c r="CL211" s="43">
        <v>0</v>
      </c>
      <c r="CM211" s="43"/>
      <c r="CN211" s="43"/>
      <c r="CO211" s="43">
        <v>2143</v>
      </c>
      <c r="CP211" s="43"/>
      <c r="CQ211" s="43">
        <f t="shared" si="552"/>
        <v>1880</v>
      </c>
      <c r="CR211" s="43">
        <f t="shared" si="552"/>
        <v>0</v>
      </c>
      <c r="CS211" s="43">
        <f t="shared" si="553"/>
        <v>1880</v>
      </c>
      <c r="CT211" s="43">
        <f t="shared" si="553"/>
        <v>0</v>
      </c>
      <c r="CU211" s="43">
        <f t="shared" si="553"/>
        <v>1880</v>
      </c>
      <c r="CV211" s="43">
        <f t="shared" si="553"/>
        <v>0</v>
      </c>
      <c r="CW211" s="43">
        <f t="shared" si="554"/>
        <v>470</v>
      </c>
      <c r="CX211" s="43">
        <f t="shared" si="554"/>
        <v>0</v>
      </c>
      <c r="CY211" s="43"/>
      <c r="CZ211" s="43"/>
      <c r="DA211" s="43">
        <f t="shared" si="555"/>
        <v>1115</v>
      </c>
      <c r="DB211" s="43">
        <f t="shared" si="555"/>
        <v>0</v>
      </c>
      <c r="DC211" s="43">
        <v>1115</v>
      </c>
      <c r="DD211" s="43">
        <v>0</v>
      </c>
      <c r="DE211" s="43">
        <f t="shared" si="556"/>
        <v>0</v>
      </c>
      <c r="DF211" s="43">
        <f t="shared" si="556"/>
        <v>0</v>
      </c>
      <c r="DG211" s="43">
        <f t="shared" si="595"/>
        <v>470</v>
      </c>
      <c r="DH211" s="43">
        <f t="shared" si="595"/>
        <v>0</v>
      </c>
      <c r="DI211" s="43">
        <f t="shared" si="596"/>
        <v>470</v>
      </c>
      <c r="DJ211" s="43">
        <f>+DH211-DF211</f>
        <v>0</v>
      </c>
      <c r="DK211" s="43"/>
      <c r="DL211" s="43"/>
      <c r="DM211" s="43">
        <f t="shared" si="558"/>
        <v>1585</v>
      </c>
      <c r="DN211" s="43">
        <f t="shared" si="558"/>
        <v>0</v>
      </c>
      <c r="DO211" s="94">
        <v>1585</v>
      </c>
      <c r="DP211" s="114">
        <v>0</v>
      </c>
      <c r="DQ211" s="60">
        <f t="shared" si="559"/>
        <v>0</v>
      </c>
      <c r="DR211" s="60">
        <f t="shared" si="559"/>
        <v>0</v>
      </c>
      <c r="DS211" s="60">
        <f t="shared" si="560"/>
        <v>158.5</v>
      </c>
      <c r="DT211" s="60">
        <f t="shared" si="560"/>
        <v>0</v>
      </c>
      <c r="DU211" s="60">
        <f t="shared" si="561"/>
        <v>158.5</v>
      </c>
      <c r="DV211" s="60">
        <f t="shared" si="561"/>
        <v>0</v>
      </c>
      <c r="DW211" s="60"/>
      <c r="DX211" s="60"/>
      <c r="DY211" s="60">
        <f t="shared" si="569"/>
        <v>158.5</v>
      </c>
      <c r="DZ211" s="60">
        <f t="shared" si="569"/>
        <v>0</v>
      </c>
      <c r="EA211" s="60"/>
      <c r="EB211" s="60"/>
      <c r="EC211" s="43">
        <f t="shared" si="562"/>
        <v>1743.5</v>
      </c>
      <c r="ED211" s="43">
        <f t="shared" si="562"/>
        <v>0</v>
      </c>
      <c r="EE211" s="43">
        <v>1585</v>
      </c>
      <c r="EF211" s="43">
        <v>0</v>
      </c>
      <c r="EG211" s="43">
        <f t="shared" si="423"/>
        <v>90.91</v>
      </c>
      <c r="EH211" s="43" t="e">
        <f t="shared" si="423"/>
        <v>#DIV/0!</v>
      </c>
      <c r="EI211" s="43">
        <f t="shared" si="563"/>
        <v>158.5</v>
      </c>
      <c r="EJ211" s="43">
        <f t="shared" si="563"/>
        <v>0</v>
      </c>
      <c r="EK211" s="43">
        <f t="shared" si="564"/>
        <v>144.09</v>
      </c>
      <c r="EL211" s="43">
        <f t="shared" si="564"/>
        <v>0</v>
      </c>
      <c r="EM211" s="43">
        <f t="shared" si="565"/>
        <v>-14.409999999999997</v>
      </c>
      <c r="EN211" s="43">
        <f t="shared" si="565"/>
        <v>0</v>
      </c>
      <c r="EO211" s="43">
        <v>136.5</v>
      </c>
      <c r="EP211" s="43">
        <v>0</v>
      </c>
      <c r="EQ211" s="5"/>
      <c r="ER211" s="5"/>
      <c r="ES211" s="5"/>
      <c r="ET211" s="5"/>
      <c r="EU211" s="5">
        <f t="shared" si="442"/>
        <v>0</v>
      </c>
      <c r="EV211" s="5">
        <f t="shared" si="442"/>
        <v>0</v>
      </c>
      <c r="EW211" s="5">
        <v>1880</v>
      </c>
      <c r="EY211" s="5">
        <v>2187.9899999999998</v>
      </c>
    </row>
    <row r="212" spans="1:162" ht="18.75" x14ac:dyDescent="0.25">
      <c r="A212" s="37">
        <v>22</v>
      </c>
      <c r="B212" s="37"/>
      <c r="C212" s="91" t="s">
        <v>112</v>
      </c>
      <c r="D212" s="38" t="s">
        <v>450</v>
      </c>
      <c r="E212" s="39"/>
      <c r="F212" s="40">
        <v>0</v>
      </c>
      <c r="G212" s="40">
        <v>0</v>
      </c>
      <c r="H212" s="40">
        <v>0</v>
      </c>
      <c r="I212" s="40">
        <v>0</v>
      </c>
      <c r="J212" s="41">
        <v>0</v>
      </c>
      <c r="K212" s="41">
        <v>0</v>
      </c>
      <c r="L212" s="41">
        <v>0</v>
      </c>
      <c r="M212" s="41">
        <f t="shared" si="585"/>
        <v>0</v>
      </c>
      <c r="N212" s="41">
        <v>0</v>
      </c>
      <c r="O212" s="41">
        <v>0</v>
      </c>
      <c r="P212" s="41">
        <v>0</v>
      </c>
      <c r="Q212" s="41">
        <f t="shared" si="591"/>
        <v>0</v>
      </c>
      <c r="R212" s="41">
        <f t="shared" si="543"/>
        <v>0</v>
      </c>
      <c r="S212" s="41">
        <v>0</v>
      </c>
      <c r="T212" s="92"/>
      <c r="U212" s="92"/>
      <c r="V212" s="40">
        <f t="shared" si="592"/>
        <v>0</v>
      </c>
      <c r="W212" s="40">
        <f t="shared" si="593"/>
        <v>0</v>
      </c>
      <c r="X212" s="43">
        <f t="shared" si="529"/>
        <v>0</v>
      </c>
      <c r="Y212" s="43">
        <f t="shared" si="529"/>
        <v>0</v>
      </c>
      <c r="Z212" s="43">
        <v>0</v>
      </c>
      <c r="AA212" s="43"/>
      <c r="AB212" s="43">
        <f t="shared" si="547"/>
        <v>0</v>
      </c>
      <c r="AC212" s="43">
        <f t="shared" si="548"/>
        <v>0</v>
      </c>
      <c r="AD212" s="43">
        <f t="shared" si="594"/>
        <v>0</v>
      </c>
      <c r="AE212" s="43">
        <f t="shared" si="594"/>
        <v>0</v>
      </c>
      <c r="AF212" s="43">
        <f t="shared" si="570"/>
        <v>0</v>
      </c>
      <c r="AG212" s="43">
        <f t="shared" si="530"/>
        <v>0</v>
      </c>
      <c r="AH212" s="43">
        <f t="shared" si="530"/>
        <v>0</v>
      </c>
      <c r="AI212" s="93">
        <f t="shared" si="531"/>
        <v>0</v>
      </c>
      <c r="AJ212" s="43">
        <f t="shared" si="531"/>
        <v>0</v>
      </c>
      <c r="AK212" s="43"/>
      <c r="AL212" s="43"/>
      <c r="AM212" s="43">
        <f t="shared" si="571"/>
        <v>0</v>
      </c>
      <c r="AN212" s="43">
        <f t="shared" si="572"/>
        <v>0</v>
      </c>
      <c r="AO212" s="43"/>
      <c r="AP212" s="43"/>
      <c r="AQ212" s="43">
        <f t="shared" si="532"/>
        <v>0</v>
      </c>
      <c r="AR212" s="43">
        <f t="shared" si="532"/>
        <v>0</v>
      </c>
      <c r="AS212" s="43"/>
      <c r="AT212" s="43"/>
      <c r="AU212" s="43">
        <f t="shared" si="424"/>
        <v>0</v>
      </c>
      <c r="AV212" s="43">
        <f t="shared" si="424"/>
        <v>0</v>
      </c>
      <c r="AW212" s="43"/>
      <c r="AX212" s="43"/>
      <c r="AY212" s="43">
        <f t="shared" si="520"/>
        <v>0</v>
      </c>
      <c r="AZ212" s="43">
        <f t="shared" si="520"/>
        <v>0</v>
      </c>
      <c r="BA212" s="43">
        <f t="shared" si="521"/>
        <v>0</v>
      </c>
      <c r="BB212" s="60">
        <v>0</v>
      </c>
      <c r="BC212" s="60"/>
      <c r="BD212" s="60">
        <f t="shared" si="522"/>
        <v>0</v>
      </c>
      <c r="BE212" s="60">
        <f t="shared" si="522"/>
        <v>0</v>
      </c>
      <c r="BF212" s="60">
        <f t="shared" si="523"/>
        <v>0</v>
      </c>
      <c r="BG212" s="60">
        <f t="shared" si="523"/>
        <v>0</v>
      </c>
      <c r="BH212" s="43">
        <v>0</v>
      </c>
      <c r="BI212" s="43">
        <v>0</v>
      </c>
      <c r="BJ212" s="43"/>
      <c r="BK212" s="43"/>
      <c r="BL212" s="43">
        <f t="shared" si="545"/>
        <v>0</v>
      </c>
      <c r="BM212" s="43">
        <f t="shared" si="545"/>
        <v>0</v>
      </c>
      <c r="BN212" s="43">
        <f t="shared" si="573"/>
        <v>0</v>
      </c>
      <c r="BO212" s="43">
        <v>0</v>
      </c>
      <c r="BP212" s="93"/>
      <c r="BQ212" s="43">
        <f t="shared" si="549"/>
        <v>0</v>
      </c>
      <c r="BR212" s="43">
        <f t="shared" si="549"/>
        <v>0</v>
      </c>
      <c r="BS212" s="43">
        <f t="shared" si="550"/>
        <v>0</v>
      </c>
      <c r="BT212" s="43">
        <f t="shared" si="550"/>
        <v>0</v>
      </c>
      <c r="BU212" s="43">
        <f t="shared" si="583"/>
        <v>0</v>
      </c>
      <c r="BV212" s="43">
        <v>0</v>
      </c>
      <c r="BW212" s="43"/>
      <c r="BX212" s="43"/>
      <c r="BY212" s="43"/>
      <c r="BZ212" s="43"/>
      <c r="CA212" s="43">
        <v>0</v>
      </c>
      <c r="CB212" s="43">
        <v>0</v>
      </c>
      <c r="CC212" s="92">
        <v>0</v>
      </c>
      <c r="CD212" s="92">
        <v>0</v>
      </c>
      <c r="CE212" s="92">
        <v>0</v>
      </c>
      <c r="CF212" s="92">
        <v>0</v>
      </c>
      <c r="CG212" s="92">
        <f t="shared" si="551"/>
        <v>0</v>
      </c>
      <c r="CH212" s="92">
        <f t="shared" si="551"/>
        <v>0</v>
      </c>
      <c r="CI212" s="43"/>
      <c r="CJ212" s="43"/>
      <c r="CK212" s="43">
        <v>0</v>
      </c>
      <c r="CL212" s="43">
        <v>0</v>
      </c>
      <c r="CM212" s="43"/>
      <c r="CN212" s="43"/>
      <c r="CO212" s="43"/>
      <c r="CP212" s="43"/>
      <c r="CQ212" s="43">
        <f t="shared" si="552"/>
        <v>0</v>
      </c>
      <c r="CR212" s="43">
        <f t="shared" si="552"/>
        <v>0</v>
      </c>
      <c r="CS212" s="43">
        <f t="shared" si="553"/>
        <v>0</v>
      </c>
      <c r="CT212" s="43">
        <f t="shared" si="553"/>
        <v>0</v>
      </c>
      <c r="CU212" s="43">
        <f t="shared" si="553"/>
        <v>0</v>
      </c>
      <c r="CV212" s="43">
        <f t="shared" si="553"/>
        <v>0</v>
      </c>
      <c r="CW212" s="43">
        <f t="shared" si="554"/>
        <v>0</v>
      </c>
      <c r="CX212" s="43">
        <f t="shared" si="554"/>
        <v>0</v>
      </c>
      <c r="CY212" s="43"/>
      <c r="CZ212" s="43"/>
      <c r="DA212" s="43">
        <f t="shared" si="555"/>
        <v>0</v>
      </c>
      <c r="DB212" s="43">
        <f t="shared" si="555"/>
        <v>0</v>
      </c>
      <c r="DC212" s="43">
        <v>0</v>
      </c>
      <c r="DD212" s="43">
        <v>0</v>
      </c>
      <c r="DE212" s="43">
        <f t="shared" si="556"/>
        <v>0</v>
      </c>
      <c r="DF212" s="43">
        <f t="shared" si="556"/>
        <v>0</v>
      </c>
      <c r="DG212" s="43">
        <f t="shared" si="595"/>
        <v>0</v>
      </c>
      <c r="DH212" s="43">
        <f t="shared" si="595"/>
        <v>0</v>
      </c>
      <c r="DI212" s="43">
        <f t="shared" si="596"/>
        <v>0</v>
      </c>
      <c r="DJ212" s="43">
        <f>+DH212-DF212</f>
        <v>0</v>
      </c>
      <c r="DK212" s="43"/>
      <c r="DL212" s="43"/>
      <c r="DM212" s="43">
        <f t="shared" si="558"/>
        <v>0</v>
      </c>
      <c r="DN212" s="43">
        <f t="shared" si="558"/>
        <v>0</v>
      </c>
      <c r="DO212" s="115">
        <v>0</v>
      </c>
      <c r="DP212" s="114">
        <v>0</v>
      </c>
      <c r="DQ212" s="60">
        <f t="shared" si="559"/>
        <v>0</v>
      </c>
      <c r="DR212" s="60">
        <f t="shared" si="559"/>
        <v>0</v>
      </c>
      <c r="DS212" s="60">
        <f t="shared" si="560"/>
        <v>0</v>
      </c>
      <c r="DT212" s="60">
        <f t="shared" si="560"/>
        <v>0</v>
      </c>
      <c r="DU212" s="60">
        <f t="shared" si="561"/>
        <v>0</v>
      </c>
      <c r="DV212" s="60">
        <f t="shared" si="561"/>
        <v>0</v>
      </c>
      <c r="DW212" s="60"/>
      <c r="DX212" s="60"/>
      <c r="DY212" s="60">
        <f t="shared" si="569"/>
        <v>0</v>
      </c>
      <c r="DZ212" s="60">
        <f t="shared" si="569"/>
        <v>0</v>
      </c>
      <c r="EA212" s="60"/>
      <c r="EB212" s="60"/>
      <c r="EC212" s="43">
        <f t="shared" si="562"/>
        <v>0</v>
      </c>
      <c r="ED212" s="43">
        <f t="shared" si="562"/>
        <v>0</v>
      </c>
      <c r="EE212" s="43">
        <v>0</v>
      </c>
      <c r="EF212" s="43">
        <v>0</v>
      </c>
      <c r="EG212" s="43" t="e">
        <f t="shared" si="423"/>
        <v>#DIV/0!</v>
      </c>
      <c r="EH212" s="43" t="e">
        <f t="shared" si="423"/>
        <v>#DIV/0!</v>
      </c>
      <c r="EI212" s="43">
        <f t="shared" si="563"/>
        <v>0</v>
      </c>
      <c r="EJ212" s="43">
        <f t="shared" si="563"/>
        <v>0</v>
      </c>
      <c r="EK212" s="43">
        <f t="shared" si="564"/>
        <v>0</v>
      </c>
      <c r="EL212" s="43">
        <f t="shared" si="564"/>
        <v>0</v>
      </c>
      <c r="EM212" s="43">
        <f t="shared" si="565"/>
        <v>0</v>
      </c>
      <c r="EN212" s="43">
        <f t="shared" si="565"/>
        <v>0</v>
      </c>
      <c r="EO212" s="43">
        <v>0</v>
      </c>
      <c r="EP212" s="43">
        <v>0</v>
      </c>
      <c r="EQ212" s="5"/>
      <c r="ER212" s="5"/>
      <c r="ES212" s="5"/>
      <c r="ET212" s="5"/>
      <c r="EU212" s="5">
        <f t="shared" si="442"/>
        <v>0</v>
      </c>
      <c r="EV212" s="5">
        <f t="shared" si="442"/>
        <v>0</v>
      </c>
      <c r="EW212" s="5">
        <v>0</v>
      </c>
      <c r="EX212" s="5">
        <v>0</v>
      </c>
      <c r="EY212" s="5">
        <v>0</v>
      </c>
      <c r="EZ212" s="5">
        <v>0</v>
      </c>
    </row>
    <row r="213" spans="1:162" ht="18.75" x14ac:dyDescent="0.25">
      <c r="A213" s="68"/>
      <c r="B213" s="68" t="s">
        <v>451</v>
      </c>
      <c r="C213" s="91" t="s">
        <v>112</v>
      </c>
      <c r="D213" s="67" t="s">
        <v>448</v>
      </c>
      <c r="E213" s="69" t="s">
        <v>452</v>
      </c>
      <c r="F213" s="70">
        <v>2801.6299999999997</v>
      </c>
      <c r="G213" s="70">
        <v>33.879999999999995</v>
      </c>
      <c r="H213" s="70">
        <v>2801.6299999999997</v>
      </c>
      <c r="I213" s="70">
        <v>34.129999999999995</v>
      </c>
      <c r="J213" s="71">
        <f t="shared" ref="J213:AA213" si="597">+J210+J211+J212</f>
        <v>3120</v>
      </c>
      <c r="K213" s="71">
        <f t="shared" si="597"/>
        <v>0</v>
      </c>
      <c r="L213" s="71">
        <f t="shared" si="597"/>
        <v>0</v>
      </c>
      <c r="M213" s="71">
        <f t="shared" si="597"/>
        <v>3120</v>
      </c>
      <c r="N213" s="71">
        <f t="shared" si="597"/>
        <v>0</v>
      </c>
      <c r="O213" s="71">
        <f t="shared" si="597"/>
        <v>0</v>
      </c>
      <c r="P213" s="71">
        <f t="shared" si="597"/>
        <v>0</v>
      </c>
      <c r="Q213" s="71">
        <f t="shared" si="597"/>
        <v>0</v>
      </c>
      <c r="R213" s="71">
        <f t="shared" si="597"/>
        <v>3120</v>
      </c>
      <c r="S213" s="71">
        <f t="shared" si="597"/>
        <v>0</v>
      </c>
      <c r="T213" s="71">
        <f t="shared" si="597"/>
        <v>0</v>
      </c>
      <c r="U213" s="71">
        <f t="shared" si="597"/>
        <v>0</v>
      </c>
      <c r="V213" s="71">
        <f t="shared" si="597"/>
        <v>2964.96</v>
      </c>
      <c r="W213" s="71">
        <f t="shared" si="597"/>
        <v>35.25</v>
      </c>
      <c r="X213" s="71">
        <f t="shared" si="597"/>
        <v>155.03999999999996</v>
      </c>
      <c r="Y213" s="71">
        <f t="shared" si="597"/>
        <v>-35.25</v>
      </c>
      <c r="Z213" s="71">
        <f t="shared" si="597"/>
        <v>2964.96</v>
      </c>
      <c r="AA213" s="71">
        <f t="shared" si="597"/>
        <v>0</v>
      </c>
      <c r="AB213" s="70">
        <f t="shared" si="547"/>
        <v>2964.96</v>
      </c>
      <c r="AC213" s="43">
        <f t="shared" si="548"/>
        <v>0</v>
      </c>
      <c r="AD213" s="70">
        <f t="shared" ref="AD213:CO213" si="598">+AD210+AD211+AD212</f>
        <v>2964.96</v>
      </c>
      <c r="AE213" s="70">
        <f t="shared" si="598"/>
        <v>0</v>
      </c>
      <c r="AF213" s="70">
        <f t="shared" si="598"/>
        <v>0</v>
      </c>
      <c r="AG213" s="70">
        <f t="shared" si="598"/>
        <v>741</v>
      </c>
      <c r="AH213" s="70">
        <f t="shared" si="598"/>
        <v>0</v>
      </c>
      <c r="AI213" s="96">
        <f t="shared" si="598"/>
        <v>247</v>
      </c>
      <c r="AJ213" s="70">
        <f t="shared" si="598"/>
        <v>0</v>
      </c>
      <c r="AK213" s="70">
        <f t="shared" si="598"/>
        <v>0</v>
      </c>
      <c r="AL213" s="70">
        <f t="shared" si="598"/>
        <v>0</v>
      </c>
      <c r="AM213" s="70">
        <f t="shared" si="598"/>
        <v>741.24</v>
      </c>
      <c r="AN213" s="70">
        <f t="shared" si="598"/>
        <v>0</v>
      </c>
      <c r="AO213" s="70">
        <f t="shared" si="598"/>
        <v>0</v>
      </c>
      <c r="AP213" s="70">
        <f t="shared" si="598"/>
        <v>0</v>
      </c>
      <c r="AQ213" s="70">
        <f t="shared" si="598"/>
        <v>1482.24</v>
      </c>
      <c r="AR213" s="70">
        <f t="shared" si="598"/>
        <v>0</v>
      </c>
      <c r="AS213" s="70">
        <f t="shared" si="598"/>
        <v>0</v>
      </c>
      <c r="AT213" s="70">
        <f t="shared" si="598"/>
        <v>0</v>
      </c>
      <c r="AU213" s="70">
        <f t="shared" si="598"/>
        <v>741.24</v>
      </c>
      <c r="AV213" s="70">
        <f t="shared" si="598"/>
        <v>0</v>
      </c>
      <c r="AW213" s="70">
        <f t="shared" si="598"/>
        <v>0</v>
      </c>
      <c r="AX213" s="70">
        <f t="shared" si="598"/>
        <v>0</v>
      </c>
      <c r="AY213" s="70">
        <f t="shared" si="598"/>
        <v>2470.48</v>
      </c>
      <c r="AZ213" s="70">
        <f t="shared" si="598"/>
        <v>0</v>
      </c>
      <c r="BA213" s="70">
        <f t="shared" si="598"/>
        <v>2470.48</v>
      </c>
      <c r="BB213" s="70">
        <f t="shared" si="598"/>
        <v>2512.06</v>
      </c>
      <c r="BC213" s="70">
        <f t="shared" si="598"/>
        <v>0</v>
      </c>
      <c r="BD213" s="70">
        <f t="shared" si="598"/>
        <v>-41.579999999999927</v>
      </c>
      <c r="BE213" s="70">
        <f t="shared" si="598"/>
        <v>0</v>
      </c>
      <c r="BF213" s="70">
        <f t="shared" si="598"/>
        <v>502.42</v>
      </c>
      <c r="BG213" s="96">
        <f t="shared" si="598"/>
        <v>0</v>
      </c>
      <c r="BH213" s="96">
        <f t="shared" si="598"/>
        <v>271.33999999999997</v>
      </c>
      <c r="BI213" s="96">
        <f t="shared" si="598"/>
        <v>0</v>
      </c>
      <c r="BJ213" s="96">
        <f t="shared" si="598"/>
        <v>0</v>
      </c>
      <c r="BK213" s="96">
        <f t="shared" si="598"/>
        <v>0</v>
      </c>
      <c r="BL213" s="96">
        <f t="shared" si="598"/>
        <v>2741.82</v>
      </c>
      <c r="BM213" s="96">
        <f t="shared" si="598"/>
        <v>0</v>
      </c>
      <c r="BN213" s="96">
        <f t="shared" si="598"/>
        <v>2741.82</v>
      </c>
      <c r="BO213" s="96">
        <f t="shared" si="598"/>
        <v>2603.94</v>
      </c>
      <c r="BP213" s="96">
        <f t="shared" si="598"/>
        <v>0</v>
      </c>
      <c r="BQ213" s="70">
        <f t="shared" si="598"/>
        <v>137.88000000000011</v>
      </c>
      <c r="BR213" s="70">
        <f t="shared" si="598"/>
        <v>0</v>
      </c>
      <c r="BS213" s="70">
        <f t="shared" si="598"/>
        <v>236.73000000000002</v>
      </c>
      <c r="BT213" s="70">
        <f t="shared" si="598"/>
        <v>0</v>
      </c>
      <c r="BU213" s="70">
        <f t="shared" si="598"/>
        <v>98.849999999999895</v>
      </c>
      <c r="BV213" s="70">
        <f t="shared" si="598"/>
        <v>0</v>
      </c>
      <c r="BW213" s="70">
        <f t="shared" si="598"/>
        <v>175.89</v>
      </c>
      <c r="BX213" s="70">
        <f t="shared" si="598"/>
        <v>0.45</v>
      </c>
      <c r="BY213" s="70">
        <f t="shared" si="598"/>
        <v>0</v>
      </c>
      <c r="BZ213" s="70">
        <f t="shared" si="598"/>
        <v>0</v>
      </c>
      <c r="CA213" s="70">
        <f t="shared" si="598"/>
        <v>3016.56</v>
      </c>
      <c r="CB213" s="70">
        <f t="shared" si="598"/>
        <v>0.45</v>
      </c>
      <c r="CC213" s="70">
        <f t="shared" si="598"/>
        <v>3318.2200000000003</v>
      </c>
      <c r="CD213" s="70">
        <f t="shared" si="598"/>
        <v>0.52</v>
      </c>
      <c r="CE213" s="70">
        <f t="shared" si="598"/>
        <v>276</v>
      </c>
      <c r="CF213" s="70">
        <f t="shared" si="598"/>
        <v>0</v>
      </c>
      <c r="CG213" s="70">
        <f t="shared" si="598"/>
        <v>754.14</v>
      </c>
      <c r="CH213" s="96">
        <f t="shared" si="598"/>
        <v>0.11</v>
      </c>
      <c r="CI213" s="70">
        <f t="shared" si="598"/>
        <v>0</v>
      </c>
      <c r="CJ213" s="70">
        <f t="shared" si="598"/>
        <v>0</v>
      </c>
      <c r="CK213" s="70">
        <f t="shared" si="598"/>
        <v>815.41000000000008</v>
      </c>
      <c r="CL213" s="70">
        <f t="shared" si="598"/>
        <v>100</v>
      </c>
      <c r="CM213" s="70">
        <f t="shared" si="598"/>
        <v>0</v>
      </c>
      <c r="CN213" s="70">
        <f t="shared" si="598"/>
        <v>62.95</v>
      </c>
      <c r="CO213" s="70">
        <f t="shared" si="598"/>
        <v>3534.19</v>
      </c>
      <c r="CP213" s="70">
        <f t="shared" ref="CP213:FA213" si="599">+CP210+CP211+CP212</f>
        <v>390</v>
      </c>
      <c r="CQ213" s="70">
        <f t="shared" si="599"/>
        <v>3261.6400000000003</v>
      </c>
      <c r="CR213" s="70">
        <f t="shared" si="599"/>
        <v>400</v>
      </c>
      <c r="CS213" s="70">
        <f t="shared" si="599"/>
        <v>3261.6400000000003</v>
      </c>
      <c r="CT213" s="70">
        <f t="shared" si="599"/>
        <v>390</v>
      </c>
      <c r="CU213" s="70">
        <f t="shared" si="599"/>
        <v>3211.6400000000003</v>
      </c>
      <c r="CV213" s="70">
        <f t="shared" si="599"/>
        <v>229</v>
      </c>
      <c r="CW213" s="70">
        <f t="shared" si="599"/>
        <v>802.91000000000008</v>
      </c>
      <c r="CX213" s="70">
        <f t="shared" si="599"/>
        <v>0</v>
      </c>
      <c r="CY213" s="70">
        <f t="shared" si="599"/>
        <v>0</v>
      </c>
      <c r="CZ213" s="70">
        <f t="shared" si="599"/>
        <v>0</v>
      </c>
      <c r="DA213" s="70">
        <f t="shared" si="599"/>
        <v>1894.3200000000002</v>
      </c>
      <c r="DB213" s="70">
        <f t="shared" si="599"/>
        <v>162.94999999999999</v>
      </c>
      <c r="DC213" s="70">
        <f t="shared" si="599"/>
        <v>1857.15</v>
      </c>
      <c r="DD213" s="70">
        <f t="shared" si="599"/>
        <v>162.94999999999999</v>
      </c>
      <c r="DE213" s="70">
        <f t="shared" si="599"/>
        <v>37.170000000000073</v>
      </c>
      <c r="DF213" s="70">
        <f t="shared" si="599"/>
        <v>0</v>
      </c>
      <c r="DG213" s="70">
        <f t="shared" si="599"/>
        <v>802.91000000000008</v>
      </c>
      <c r="DH213" s="70">
        <f t="shared" si="599"/>
        <v>57.25</v>
      </c>
      <c r="DI213" s="70">
        <f t="shared" si="599"/>
        <v>765.74</v>
      </c>
      <c r="DJ213" s="70">
        <f t="shared" si="599"/>
        <v>57.25</v>
      </c>
      <c r="DK213" s="70">
        <f t="shared" si="599"/>
        <v>0</v>
      </c>
      <c r="DL213" s="70">
        <f t="shared" si="599"/>
        <v>0</v>
      </c>
      <c r="DM213" s="70">
        <f t="shared" si="599"/>
        <v>2660.06</v>
      </c>
      <c r="DN213" s="70">
        <f t="shared" si="599"/>
        <v>220.2</v>
      </c>
      <c r="DO213" s="70">
        <f t="shared" si="599"/>
        <v>2660.79</v>
      </c>
      <c r="DP213" s="70">
        <f t="shared" si="599"/>
        <v>162.94999999999999</v>
      </c>
      <c r="DQ213" s="70">
        <f t="shared" si="599"/>
        <v>-0.73</v>
      </c>
      <c r="DR213" s="70">
        <f t="shared" si="599"/>
        <v>57.25</v>
      </c>
      <c r="DS213" s="70">
        <f t="shared" si="599"/>
        <v>266.07900000000001</v>
      </c>
      <c r="DT213" s="70">
        <f t="shared" si="599"/>
        <v>16.294999999999998</v>
      </c>
      <c r="DU213" s="70">
        <f t="shared" si="599"/>
        <v>266.80899999999997</v>
      </c>
      <c r="DV213" s="70">
        <f t="shared" si="599"/>
        <v>-40.954999999999998</v>
      </c>
      <c r="DW213" s="70">
        <f t="shared" si="599"/>
        <v>0</v>
      </c>
      <c r="DX213" s="70">
        <f t="shared" si="599"/>
        <v>0</v>
      </c>
      <c r="DY213" s="70">
        <f t="shared" si="599"/>
        <v>266.81</v>
      </c>
      <c r="DZ213" s="70">
        <f t="shared" si="599"/>
        <v>0</v>
      </c>
      <c r="EA213" s="70">
        <f t="shared" si="599"/>
        <v>0</v>
      </c>
      <c r="EB213" s="96">
        <f t="shared" si="599"/>
        <v>3.32</v>
      </c>
      <c r="EC213" s="70">
        <f t="shared" si="599"/>
        <v>2926.87</v>
      </c>
      <c r="ED213" s="70">
        <f t="shared" si="599"/>
        <v>223.51999999999998</v>
      </c>
      <c r="EE213" s="70">
        <f t="shared" si="599"/>
        <v>2761.81</v>
      </c>
      <c r="EF213" s="70">
        <f t="shared" si="599"/>
        <v>223.52</v>
      </c>
      <c r="EG213" s="70" t="e">
        <f t="shared" si="599"/>
        <v>#DIV/0!</v>
      </c>
      <c r="EH213" s="70" t="e">
        <f t="shared" si="599"/>
        <v>#DIV/0!</v>
      </c>
      <c r="EI213" s="70">
        <f t="shared" si="599"/>
        <v>165.06</v>
      </c>
      <c r="EJ213" s="70">
        <f t="shared" si="599"/>
        <v>0</v>
      </c>
      <c r="EK213" s="70">
        <f t="shared" si="599"/>
        <v>251.07</v>
      </c>
      <c r="EL213" s="70">
        <f t="shared" si="599"/>
        <v>20.32</v>
      </c>
      <c r="EM213" s="70">
        <f t="shared" si="599"/>
        <v>86.01</v>
      </c>
      <c r="EN213" s="70">
        <f t="shared" si="599"/>
        <v>20.32</v>
      </c>
      <c r="EO213" s="70">
        <f t="shared" si="599"/>
        <v>276</v>
      </c>
      <c r="EP213" s="70">
        <f t="shared" si="599"/>
        <v>0</v>
      </c>
      <c r="EQ213" s="66">
        <f t="shared" si="599"/>
        <v>0</v>
      </c>
      <c r="ER213" s="5"/>
      <c r="ES213" s="46">
        <f t="shared" si="599"/>
        <v>0</v>
      </c>
      <c r="ET213" s="46">
        <f t="shared" si="599"/>
        <v>0</v>
      </c>
      <c r="EU213" s="5">
        <f t="shared" si="442"/>
        <v>91.900000000000091</v>
      </c>
      <c r="EV213" s="5">
        <f t="shared" si="442"/>
        <v>5.4800000000000182</v>
      </c>
      <c r="EW213" s="46">
        <f t="shared" si="599"/>
        <v>3294.77</v>
      </c>
      <c r="EX213" s="46">
        <f t="shared" si="599"/>
        <v>229</v>
      </c>
      <c r="EY213" s="46">
        <f t="shared" si="599"/>
        <v>3785.96</v>
      </c>
      <c r="EZ213" s="46">
        <f t="shared" si="599"/>
        <v>60</v>
      </c>
      <c r="FA213" s="46">
        <f t="shared" si="599"/>
        <v>0</v>
      </c>
      <c r="FB213" s="46">
        <f t="shared" ref="FB213:FC213" si="600">+FB210+FB211+FB212</f>
        <v>0</v>
      </c>
      <c r="FC213" s="46">
        <f t="shared" si="600"/>
        <v>0</v>
      </c>
    </row>
    <row r="214" spans="1:162" ht="37.5" x14ac:dyDescent="0.25">
      <c r="A214" s="68">
        <v>23</v>
      </c>
      <c r="B214" s="68" t="s">
        <v>453</v>
      </c>
      <c r="C214" s="91" t="s">
        <v>313</v>
      </c>
      <c r="D214" s="67" t="s">
        <v>454</v>
      </c>
      <c r="E214" s="69" t="s">
        <v>455</v>
      </c>
      <c r="F214" s="40">
        <v>200.66</v>
      </c>
      <c r="G214" s="40">
        <v>0</v>
      </c>
      <c r="H214" s="40">
        <v>200.66</v>
      </c>
      <c r="I214" s="70">
        <v>0</v>
      </c>
      <c r="J214" s="71">
        <v>215</v>
      </c>
      <c r="K214" s="71">
        <v>0</v>
      </c>
      <c r="L214" s="71">
        <v>0</v>
      </c>
      <c r="M214" s="71">
        <f t="shared" ref="M214" si="601">+L214+K214+J214</f>
        <v>215</v>
      </c>
      <c r="N214" s="71">
        <v>0</v>
      </c>
      <c r="O214" s="71">
        <v>0</v>
      </c>
      <c r="P214" s="71">
        <v>0</v>
      </c>
      <c r="Q214" s="71">
        <f t="shared" ref="Q214" si="602">+P214+O214+N214</f>
        <v>0</v>
      </c>
      <c r="R214" s="71">
        <f t="shared" si="543"/>
        <v>215</v>
      </c>
      <c r="S214" s="71">
        <v>0</v>
      </c>
      <c r="T214" s="92"/>
      <c r="U214" s="92"/>
      <c r="V214" s="70">
        <f t="shared" ref="V214:V216" si="603">ROUND(H214*1.0583,2)</f>
        <v>212.36</v>
      </c>
      <c r="W214" s="71">
        <f t="shared" ref="W214:W216" si="604">ROUND(I214*1.0327,2)</f>
        <v>0</v>
      </c>
      <c r="X214" s="71">
        <f t="shared" si="529"/>
        <v>2.6399999999999864</v>
      </c>
      <c r="Y214" s="71">
        <f t="shared" si="529"/>
        <v>0</v>
      </c>
      <c r="Z214" s="71">
        <v>212.36</v>
      </c>
      <c r="AA214" s="71"/>
      <c r="AB214" s="71">
        <f t="shared" si="547"/>
        <v>212.36</v>
      </c>
      <c r="AC214" s="43">
        <f t="shared" si="548"/>
        <v>0</v>
      </c>
      <c r="AD214" s="71">
        <f t="shared" ref="AD214:AE216" si="605">IF(X214&gt;0,V214,R214)</f>
        <v>212.36</v>
      </c>
      <c r="AE214" s="71">
        <f t="shared" si="605"/>
        <v>0</v>
      </c>
      <c r="AF214" s="71">
        <f t="shared" si="570"/>
        <v>0</v>
      </c>
      <c r="AG214" s="43">
        <f t="shared" si="530"/>
        <v>53</v>
      </c>
      <c r="AH214" s="43">
        <f t="shared" si="530"/>
        <v>0</v>
      </c>
      <c r="AI214" s="93">
        <f t="shared" si="531"/>
        <v>18</v>
      </c>
      <c r="AJ214" s="43">
        <f t="shared" si="531"/>
        <v>0</v>
      </c>
      <c r="AK214" s="43"/>
      <c r="AL214" s="43"/>
      <c r="AM214" s="43">
        <f t="shared" si="571"/>
        <v>53.09</v>
      </c>
      <c r="AN214" s="43">
        <f t="shared" si="572"/>
        <v>0</v>
      </c>
      <c r="AO214" s="43"/>
      <c r="AP214" s="43"/>
      <c r="AQ214" s="43">
        <f t="shared" si="532"/>
        <v>106.09</v>
      </c>
      <c r="AR214" s="43">
        <f t="shared" si="532"/>
        <v>0</v>
      </c>
      <c r="AS214" s="43"/>
      <c r="AT214" s="43"/>
      <c r="AU214" s="43">
        <f t="shared" si="424"/>
        <v>53.09</v>
      </c>
      <c r="AV214" s="43">
        <f t="shared" si="424"/>
        <v>0</v>
      </c>
      <c r="AW214" s="43"/>
      <c r="AX214" s="43"/>
      <c r="AY214" s="43">
        <f t="shared" si="520"/>
        <v>177.18</v>
      </c>
      <c r="AZ214" s="43">
        <f t="shared" si="520"/>
        <v>0</v>
      </c>
      <c r="BA214" s="43">
        <f t="shared" si="521"/>
        <v>177.18</v>
      </c>
      <c r="BB214" s="60">
        <v>167.78</v>
      </c>
      <c r="BC214" s="60"/>
      <c r="BD214" s="60">
        <f t="shared" si="522"/>
        <v>9.4000000000000057</v>
      </c>
      <c r="BE214" s="60">
        <f t="shared" si="522"/>
        <v>0</v>
      </c>
      <c r="BF214" s="60">
        <f t="shared" si="523"/>
        <v>33.56</v>
      </c>
      <c r="BG214" s="60">
        <f t="shared" si="523"/>
        <v>0</v>
      </c>
      <c r="BH214" s="43">
        <v>12.08</v>
      </c>
      <c r="BI214" s="43">
        <v>0</v>
      </c>
      <c r="BJ214" s="43"/>
      <c r="BK214" s="43"/>
      <c r="BL214" s="43">
        <f t="shared" si="545"/>
        <v>189.26000000000002</v>
      </c>
      <c r="BM214" s="43">
        <f t="shared" si="545"/>
        <v>0</v>
      </c>
      <c r="BN214" s="43">
        <f t="shared" si="573"/>
        <v>189.26000000000002</v>
      </c>
      <c r="BO214" s="43">
        <v>185.29</v>
      </c>
      <c r="BP214" s="93"/>
      <c r="BQ214" s="43">
        <f t="shared" si="549"/>
        <v>3.9700000000000273</v>
      </c>
      <c r="BR214" s="43">
        <f t="shared" si="549"/>
        <v>0</v>
      </c>
      <c r="BS214" s="43">
        <f t="shared" si="550"/>
        <v>16.84</v>
      </c>
      <c r="BT214" s="43">
        <f t="shared" si="550"/>
        <v>0</v>
      </c>
      <c r="BU214" s="43">
        <v>29.17</v>
      </c>
      <c r="BV214" s="43">
        <v>0</v>
      </c>
      <c r="BW214" s="43"/>
      <c r="BX214" s="43"/>
      <c r="BY214" s="43"/>
      <c r="BZ214" s="43"/>
      <c r="CA214" s="43">
        <v>218.43</v>
      </c>
      <c r="CB214" s="43">
        <v>0</v>
      </c>
      <c r="CC214" s="92">
        <v>240.27</v>
      </c>
      <c r="CD214" s="92">
        <v>0</v>
      </c>
      <c r="CE214" s="92">
        <v>20</v>
      </c>
      <c r="CF214" s="92">
        <v>0</v>
      </c>
      <c r="CG214" s="92">
        <f t="shared" si="551"/>
        <v>54.61</v>
      </c>
      <c r="CH214" s="92">
        <f t="shared" si="551"/>
        <v>0</v>
      </c>
      <c r="CI214" s="43"/>
      <c r="CJ214" s="43"/>
      <c r="CK214" s="43">
        <v>70</v>
      </c>
      <c r="CL214" s="43">
        <v>0</v>
      </c>
      <c r="CM214" s="43"/>
      <c r="CN214" s="43"/>
      <c r="CO214" s="43">
        <v>300</v>
      </c>
      <c r="CP214" s="43"/>
      <c r="CQ214" s="43">
        <f t="shared" si="552"/>
        <v>280</v>
      </c>
      <c r="CR214" s="43">
        <f t="shared" si="552"/>
        <v>0</v>
      </c>
      <c r="CS214" s="43">
        <f t="shared" si="553"/>
        <v>280</v>
      </c>
      <c r="CT214" s="43">
        <f t="shared" si="553"/>
        <v>0</v>
      </c>
      <c r="CU214" s="43">
        <f t="shared" si="553"/>
        <v>280</v>
      </c>
      <c r="CV214" s="43">
        <f t="shared" si="553"/>
        <v>0</v>
      </c>
      <c r="CW214" s="43">
        <f t="shared" si="554"/>
        <v>70</v>
      </c>
      <c r="CX214" s="43">
        <f t="shared" si="554"/>
        <v>0</v>
      </c>
      <c r="CY214" s="43"/>
      <c r="CZ214" s="43"/>
      <c r="DA214" s="43">
        <f t="shared" si="555"/>
        <v>160</v>
      </c>
      <c r="DB214" s="43">
        <f t="shared" si="555"/>
        <v>0</v>
      </c>
      <c r="DC214" s="43">
        <v>134.56</v>
      </c>
      <c r="DD214" s="43">
        <v>0</v>
      </c>
      <c r="DE214" s="43">
        <f t="shared" si="556"/>
        <v>25.439999999999998</v>
      </c>
      <c r="DF214" s="43">
        <f t="shared" si="556"/>
        <v>0</v>
      </c>
      <c r="DG214" s="43">
        <f t="shared" ref="DG214:DH216" si="606">ROUND(0.25*(MIN(CU214,EW214)),2)</f>
        <v>62.5</v>
      </c>
      <c r="DH214" s="43">
        <f t="shared" si="606"/>
        <v>0</v>
      </c>
      <c r="DI214" s="43">
        <f>+DG214-DE214</f>
        <v>37.06</v>
      </c>
      <c r="DJ214" s="43">
        <f>+DH214-DF214</f>
        <v>0</v>
      </c>
      <c r="DK214" s="43"/>
      <c r="DL214" s="43"/>
      <c r="DM214" s="43">
        <f t="shared" si="558"/>
        <v>197.06</v>
      </c>
      <c r="DN214" s="43">
        <f t="shared" si="558"/>
        <v>0</v>
      </c>
      <c r="DO214" s="94">
        <v>188.81</v>
      </c>
      <c r="DP214" s="114">
        <v>0</v>
      </c>
      <c r="DQ214" s="60">
        <f t="shared" si="559"/>
        <v>8.25</v>
      </c>
      <c r="DR214" s="60">
        <f t="shared" si="559"/>
        <v>0</v>
      </c>
      <c r="DS214" s="60">
        <f t="shared" si="560"/>
        <v>18.881</v>
      </c>
      <c r="DT214" s="60">
        <f t="shared" si="560"/>
        <v>0</v>
      </c>
      <c r="DU214" s="60">
        <f t="shared" si="561"/>
        <v>10.631</v>
      </c>
      <c r="DV214" s="60">
        <f t="shared" si="561"/>
        <v>0</v>
      </c>
      <c r="DW214" s="60"/>
      <c r="DX214" s="60"/>
      <c r="DY214" s="60">
        <f t="shared" si="569"/>
        <v>10.63</v>
      </c>
      <c r="DZ214" s="60">
        <f t="shared" si="569"/>
        <v>0</v>
      </c>
      <c r="EA214" s="60"/>
      <c r="EB214" s="60"/>
      <c r="EC214" s="43">
        <f t="shared" si="562"/>
        <v>207.69</v>
      </c>
      <c r="ED214" s="43">
        <f t="shared" si="562"/>
        <v>0</v>
      </c>
      <c r="EE214" s="43">
        <v>206.02</v>
      </c>
      <c r="EF214" s="43">
        <v>0</v>
      </c>
      <c r="EG214" s="43">
        <f t="shared" ref="EG214:EH277" si="607">ROUND(EE214/EC214*100,2)</f>
        <v>99.2</v>
      </c>
      <c r="EH214" s="43" t="e">
        <f t="shared" si="607"/>
        <v>#DIV/0!</v>
      </c>
      <c r="EI214" s="43">
        <f t="shared" si="563"/>
        <v>1.67</v>
      </c>
      <c r="EJ214" s="43">
        <f t="shared" si="563"/>
        <v>0</v>
      </c>
      <c r="EK214" s="43">
        <f t="shared" si="564"/>
        <v>18.73</v>
      </c>
      <c r="EL214" s="43">
        <f t="shared" si="564"/>
        <v>0</v>
      </c>
      <c r="EM214" s="43">
        <f t="shared" si="565"/>
        <v>17.060000000000002</v>
      </c>
      <c r="EN214" s="43">
        <f t="shared" si="565"/>
        <v>0</v>
      </c>
      <c r="EO214" s="43">
        <v>18</v>
      </c>
      <c r="EP214" s="43">
        <v>0</v>
      </c>
      <c r="EQ214" s="5"/>
      <c r="ER214" s="5"/>
      <c r="ES214" s="5"/>
      <c r="ET214" s="5"/>
      <c r="EU214" s="5">
        <f t="shared" si="442"/>
        <v>24.310000000000002</v>
      </c>
      <c r="EV214" s="5">
        <f t="shared" si="442"/>
        <v>0</v>
      </c>
      <c r="EW214" s="5">
        <v>250</v>
      </c>
      <c r="EX214" s="5">
        <v>0</v>
      </c>
      <c r="EY214" s="5">
        <v>250</v>
      </c>
      <c r="EZ214" s="5">
        <v>0</v>
      </c>
    </row>
    <row r="215" spans="1:162" ht="18.75" x14ac:dyDescent="0.25">
      <c r="A215" s="37">
        <v>24</v>
      </c>
      <c r="B215" s="37"/>
      <c r="C215" s="91" t="s">
        <v>193</v>
      </c>
      <c r="D215" s="38" t="s">
        <v>456</v>
      </c>
      <c r="E215" s="39"/>
      <c r="F215" s="40">
        <v>759.22</v>
      </c>
      <c r="G215" s="40">
        <v>65.33</v>
      </c>
      <c r="H215" s="40">
        <v>759.22</v>
      </c>
      <c r="I215" s="40">
        <v>65.33</v>
      </c>
      <c r="J215" s="41">
        <v>844.89</v>
      </c>
      <c r="K215" s="41">
        <v>0</v>
      </c>
      <c r="L215" s="41">
        <v>0</v>
      </c>
      <c r="M215" s="41">
        <f t="shared" ref="M215:M216" si="608">J215+K215+L215</f>
        <v>844.89</v>
      </c>
      <c r="N215" s="41">
        <v>0</v>
      </c>
      <c r="O215" s="41">
        <v>0</v>
      </c>
      <c r="P215" s="41">
        <v>0</v>
      </c>
      <c r="Q215" s="41">
        <f t="shared" ref="Q215:Q216" si="609">N215+O215+P215</f>
        <v>0</v>
      </c>
      <c r="R215" s="41">
        <f t="shared" si="543"/>
        <v>844.89</v>
      </c>
      <c r="S215" s="41">
        <v>60</v>
      </c>
      <c r="T215" s="92"/>
      <c r="U215" s="92"/>
      <c r="V215" s="40">
        <f t="shared" si="603"/>
        <v>803.48</v>
      </c>
      <c r="W215" s="40">
        <f t="shared" si="604"/>
        <v>67.47</v>
      </c>
      <c r="X215" s="43">
        <f t="shared" si="529"/>
        <v>41.409999999999968</v>
      </c>
      <c r="Y215" s="43">
        <f t="shared" si="529"/>
        <v>-7.4699999999999989</v>
      </c>
      <c r="Z215" s="43">
        <v>803.48</v>
      </c>
      <c r="AA215" s="43"/>
      <c r="AB215" s="43">
        <f t="shared" si="547"/>
        <v>803.48</v>
      </c>
      <c r="AC215" s="43">
        <f t="shared" si="548"/>
        <v>0</v>
      </c>
      <c r="AD215" s="43">
        <f t="shared" si="605"/>
        <v>803.48</v>
      </c>
      <c r="AE215" s="43">
        <f t="shared" si="605"/>
        <v>60</v>
      </c>
      <c r="AF215" s="43">
        <f t="shared" si="570"/>
        <v>54.13</v>
      </c>
      <c r="AG215" s="43">
        <f t="shared" si="530"/>
        <v>201</v>
      </c>
      <c r="AH215" s="43">
        <f t="shared" si="530"/>
        <v>15</v>
      </c>
      <c r="AI215" s="93">
        <f t="shared" si="531"/>
        <v>67</v>
      </c>
      <c r="AJ215" s="43">
        <f t="shared" si="531"/>
        <v>5</v>
      </c>
      <c r="AK215" s="43"/>
      <c r="AL215" s="43"/>
      <c r="AM215" s="43">
        <f t="shared" si="571"/>
        <v>200.87</v>
      </c>
      <c r="AN215" s="43">
        <f t="shared" si="572"/>
        <v>14.61</v>
      </c>
      <c r="AO215" s="43"/>
      <c r="AP215" s="43"/>
      <c r="AQ215" s="43">
        <f t="shared" si="532"/>
        <v>401.87</v>
      </c>
      <c r="AR215" s="43">
        <f t="shared" si="532"/>
        <v>29.61</v>
      </c>
      <c r="AS215" s="43"/>
      <c r="AT215" s="43"/>
      <c r="AU215" s="43">
        <f t="shared" si="424"/>
        <v>200.87</v>
      </c>
      <c r="AV215" s="43">
        <f t="shared" si="424"/>
        <v>15</v>
      </c>
      <c r="AW215" s="43"/>
      <c r="AX215" s="43"/>
      <c r="AY215" s="43">
        <f t="shared" si="520"/>
        <v>669.74</v>
      </c>
      <c r="AZ215" s="43">
        <f t="shared" si="520"/>
        <v>49.61</v>
      </c>
      <c r="BA215" s="43">
        <f t="shared" si="521"/>
        <v>719.35</v>
      </c>
      <c r="BB215" s="60">
        <v>688.98</v>
      </c>
      <c r="BC215" s="60">
        <v>45.96</v>
      </c>
      <c r="BD215" s="60">
        <f t="shared" si="522"/>
        <v>-19.240000000000009</v>
      </c>
      <c r="BE215" s="60">
        <f t="shared" si="522"/>
        <v>3.6499999999999986</v>
      </c>
      <c r="BF215" s="60">
        <f t="shared" si="523"/>
        <v>137.80000000000001</v>
      </c>
      <c r="BG215" s="60">
        <f t="shared" si="523"/>
        <v>9.19</v>
      </c>
      <c r="BH215" s="43">
        <v>91.13</v>
      </c>
      <c r="BI215" s="43">
        <v>2.77</v>
      </c>
      <c r="BJ215" s="43"/>
      <c r="BK215" s="43"/>
      <c r="BL215" s="43">
        <f t="shared" si="545"/>
        <v>760.87</v>
      </c>
      <c r="BM215" s="43">
        <f t="shared" si="545"/>
        <v>52.38</v>
      </c>
      <c r="BN215" s="43">
        <f t="shared" si="573"/>
        <v>813.25</v>
      </c>
      <c r="BO215" s="43">
        <v>757.62</v>
      </c>
      <c r="BP215" s="93">
        <v>45.96</v>
      </c>
      <c r="BQ215" s="43">
        <f t="shared" si="549"/>
        <v>3.25</v>
      </c>
      <c r="BR215" s="43">
        <f t="shared" si="549"/>
        <v>6.4200000000000017</v>
      </c>
      <c r="BS215" s="43">
        <f t="shared" si="550"/>
        <v>68.87</v>
      </c>
      <c r="BT215" s="43">
        <f t="shared" si="550"/>
        <v>4.18</v>
      </c>
      <c r="BU215" s="43">
        <f>BS215-BQ215+15.51</f>
        <v>81.13000000000001</v>
      </c>
      <c r="BV215" s="43">
        <v>0</v>
      </c>
      <c r="BW215" s="43"/>
      <c r="BX215" s="43"/>
      <c r="BY215" s="43">
        <v>3.64</v>
      </c>
      <c r="BZ215" s="43"/>
      <c r="CA215" s="43">
        <v>842</v>
      </c>
      <c r="CB215" s="43">
        <v>48.74</v>
      </c>
      <c r="CC215" s="92">
        <v>926.2</v>
      </c>
      <c r="CD215" s="92">
        <v>56.05</v>
      </c>
      <c r="CE215" s="92">
        <v>77</v>
      </c>
      <c r="CF215" s="92">
        <v>5</v>
      </c>
      <c r="CG215" s="92">
        <f t="shared" si="551"/>
        <v>210.5</v>
      </c>
      <c r="CH215" s="92">
        <f t="shared" si="551"/>
        <v>12.19</v>
      </c>
      <c r="CI215" s="43"/>
      <c r="CJ215" s="43"/>
      <c r="CK215" s="43">
        <v>235</v>
      </c>
      <c r="CL215" s="43">
        <v>0</v>
      </c>
      <c r="CM215" s="43"/>
      <c r="CN215" s="43"/>
      <c r="CO215" s="43">
        <v>952.53</v>
      </c>
      <c r="CP215" s="43">
        <v>95</v>
      </c>
      <c r="CQ215" s="43">
        <f t="shared" si="552"/>
        <v>940</v>
      </c>
      <c r="CR215" s="43">
        <f t="shared" si="552"/>
        <v>0</v>
      </c>
      <c r="CS215" s="43">
        <f t="shared" si="553"/>
        <v>940</v>
      </c>
      <c r="CT215" s="117">
        <f>IF(CP215&lt;CR215,CP215,CR215)+95</f>
        <v>95</v>
      </c>
      <c r="CU215" s="43">
        <f t="shared" si="553"/>
        <v>940</v>
      </c>
      <c r="CV215" s="117">
        <f>IF(CR215&lt;CT215,CR215,CT215)+95</f>
        <v>95</v>
      </c>
      <c r="CW215" s="43">
        <f t="shared" si="554"/>
        <v>235</v>
      </c>
      <c r="CX215" s="43">
        <f t="shared" si="554"/>
        <v>23.75</v>
      </c>
      <c r="CY215" s="43"/>
      <c r="CZ215" s="43"/>
      <c r="DA215" s="43">
        <f t="shared" si="555"/>
        <v>547</v>
      </c>
      <c r="DB215" s="43">
        <f t="shared" si="555"/>
        <v>28.75</v>
      </c>
      <c r="DC215" s="43">
        <v>527.34</v>
      </c>
      <c r="DD215" s="43"/>
      <c r="DE215" s="43">
        <f t="shared" si="556"/>
        <v>19.659999999999968</v>
      </c>
      <c r="DF215" s="43">
        <f t="shared" si="556"/>
        <v>28.75</v>
      </c>
      <c r="DG215" s="43">
        <f t="shared" si="606"/>
        <v>235</v>
      </c>
      <c r="DH215" s="43">
        <f t="shared" si="606"/>
        <v>23.75</v>
      </c>
      <c r="DI215" s="43">
        <f>+DG215-DE215</f>
        <v>215.34000000000003</v>
      </c>
      <c r="DJ215" s="43">
        <f>+DH215-DF215+5</f>
        <v>0</v>
      </c>
      <c r="DK215" s="43">
        <v>20</v>
      </c>
      <c r="DL215" s="43"/>
      <c r="DM215" s="43">
        <f t="shared" si="558"/>
        <v>782.34</v>
      </c>
      <c r="DN215" s="43">
        <f t="shared" si="558"/>
        <v>28.75</v>
      </c>
      <c r="DO215" s="94">
        <v>776.82</v>
      </c>
      <c r="DP215" s="95">
        <v>0</v>
      </c>
      <c r="DQ215" s="60">
        <f t="shared" si="559"/>
        <v>5.52</v>
      </c>
      <c r="DR215" s="60">
        <f t="shared" si="559"/>
        <v>28.75</v>
      </c>
      <c r="DS215" s="60">
        <f t="shared" si="560"/>
        <v>77.682000000000002</v>
      </c>
      <c r="DT215" s="60">
        <f t="shared" si="560"/>
        <v>0</v>
      </c>
      <c r="DU215" s="60">
        <f t="shared" si="561"/>
        <v>72.162000000000006</v>
      </c>
      <c r="DV215" s="60">
        <f t="shared" si="561"/>
        <v>-28.75</v>
      </c>
      <c r="DW215" s="60"/>
      <c r="DX215" s="60"/>
      <c r="DY215" s="60">
        <f t="shared" si="569"/>
        <v>72.16</v>
      </c>
      <c r="DZ215" s="60">
        <v>0</v>
      </c>
      <c r="EA215" s="60"/>
      <c r="EB215" s="60">
        <v>66.25</v>
      </c>
      <c r="EC215" s="43">
        <f t="shared" si="562"/>
        <v>854.5</v>
      </c>
      <c r="ED215" s="43">
        <f t="shared" si="562"/>
        <v>95</v>
      </c>
      <c r="EE215" s="43">
        <v>851.24</v>
      </c>
      <c r="EF215" s="43">
        <v>90.11</v>
      </c>
      <c r="EG215" s="43">
        <f t="shared" si="607"/>
        <v>99.62</v>
      </c>
      <c r="EH215" s="43">
        <f t="shared" si="607"/>
        <v>94.85</v>
      </c>
      <c r="EI215" s="43">
        <f t="shared" si="563"/>
        <v>3.26</v>
      </c>
      <c r="EJ215" s="43">
        <f t="shared" si="563"/>
        <v>4.8899999999999997</v>
      </c>
      <c r="EK215" s="43">
        <f t="shared" si="564"/>
        <v>77.39</v>
      </c>
      <c r="EL215" s="43">
        <f t="shared" si="564"/>
        <v>8.19</v>
      </c>
      <c r="EM215" s="43">
        <f t="shared" si="565"/>
        <v>74.13</v>
      </c>
      <c r="EN215" s="43">
        <f t="shared" si="565"/>
        <v>3.3</v>
      </c>
      <c r="EO215" s="43">
        <v>0</v>
      </c>
      <c r="EP215" s="43">
        <v>0</v>
      </c>
      <c r="EQ215" s="5"/>
      <c r="ER215" s="5"/>
      <c r="ES215" s="5"/>
      <c r="ET215" s="5"/>
      <c r="EU215" s="5">
        <f t="shared" si="442"/>
        <v>181.28999999999996</v>
      </c>
      <c r="EV215" s="5">
        <f t="shared" si="442"/>
        <v>0</v>
      </c>
      <c r="EW215" s="5">
        <v>1035.79</v>
      </c>
      <c r="EX215" s="5">
        <v>95</v>
      </c>
      <c r="EY215" s="5">
        <v>1191</v>
      </c>
      <c r="EZ215" s="5">
        <v>50</v>
      </c>
    </row>
    <row r="216" spans="1:162" ht="18.75" x14ac:dyDescent="0.25">
      <c r="A216" s="37">
        <v>25</v>
      </c>
      <c r="B216" s="37"/>
      <c r="C216" s="91" t="s">
        <v>193</v>
      </c>
      <c r="D216" s="38" t="s">
        <v>457</v>
      </c>
      <c r="E216" s="39"/>
      <c r="F216" s="40">
        <v>559.93000000000006</v>
      </c>
      <c r="G216" s="40">
        <v>0</v>
      </c>
      <c r="H216" s="40">
        <v>637.96</v>
      </c>
      <c r="I216" s="40">
        <v>0</v>
      </c>
      <c r="J216" s="41">
        <v>732.17</v>
      </c>
      <c r="K216" s="41">
        <v>0</v>
      </c>
      <c r="L216" s="41">
        <v>0</v>
      </c>
      <c r="M216" s="41">
        <f t="shared" si="608"/>
        <v>732.17</v>
      </c>
      <c r="N216" s="41">
        <v>0</v>
      </c>
      <c r="O216" s="41">
        <v>0</v>
      </c>
      <c r="P216" s="41">
        <v>0</v>
      </c>
      <c r="Q216" s="41">
        <f t="shared" si="609"/>
        <v>0</v>
      </c>
      <c r="R216" s="41">
        <f t="shared" si="543"/>
        <v>732.17</v>
      </c>
      <c r="S216" s="41">
        <v>0</v>
      </c>
      <c r="T216" s="92"/>
      <c r="U216" s="92"/>
      <c r="V216" s="40">
        <f t="shared" si="603"/>
        <v>675.15</v>
      </c>
      <c r="W216" s="40">
        <f t="shared" si="604"/>
        <v>0</v>
      </c>
      <c r="X216" s="43">
        <f t="shared" si="529"/>
        <v>57.019999999999982</v>
      </c>
      <c r="Y216" s="43">
        <f t="shared" si="529"/>
        <v>0</v>
      </c>
      <c r="Z216" s="43">
        <v>675.15</v>
      </c>
      <c r="AA216" s="43"/>
      <c r="AB216" s="43">
        <f t="shared" si="547"/>
        <v>675.15</v>
      </c>
      <c r="AC216" s="43">
        <f t="shared" si="548"/>
        <v>0</v>
      </c>
      <c r="AD216" s="43">
        <f t="shared" si="605"/>
        <v>675.15</v>
      </c>
      <c r="AE216" s="43">
        <f t="shared" si="605"/>
        <v>0</v>
      </c>
      <c r="AF216" s="43">
        <f t="shared" si="570"/>
        <v>0</v>
      </c>
      <c r="AG216" s="43">
        <f t="shared" si="530"/>
        <v>169</v>
      </c>
      <c r="AH216" s="43">
        <f t="shared" si="530"/>
        <v>0</v>
      </c>
      <c r="AI216" s="93">
        <f t="shared" si="531"/>
        <v>56</v>
      </c>
      <c r="AJ216" s="43">
        <f t="shared" si="531"/>
        <v>0</v>
      </c>
      <c r="AK216" s="43"/>
      <c r="AL216" s="43"/>
      <c r="AM216" s="43">
        <f t="shared" si="571"/>
        <v>168.79</v>
      </c>
      <c r="AN216" s="43">
        <f t="shared" si="572"/>
        <v>0</v>
      </c>
      <c r="AO216" s="43"/>
      <c r="AP216" s="43"/>
      <c r="AQ216" s="43">
        <f t="shared" si="532"/>
        <v>337.78999999999996</v>
      </c>
      <c r="AR216" s="43">
        <f t="shared" si="532"/>
        <v>0</v>
      </c>
      <c r="AS216" s="43"/>
      <c r="AT216" s="43"/>
      <c r="AU216" s="43">
        <f t="shared" si="424"/>
        <v>168.79</v>
      </c>
      <c r="AV216" s="43">
        <f t="shared" si="424"/>
        <v>0</v>
      </c>
      <c r="AW216" s="43"/>
      <c r="AX216" s="43"/>
      <c r="AY216" s="43">
        <f t="shared" si="520"/>
        <v>562.57999999999993</v>
      </c>
      <c r="AZ216" s="43">
        <f t="shared" si="520"/>
        <v>0</v>
      </c>
      <c r="BA216" s="43">
        <f t="shared" si="521"/>
        <v>562.57999999999993</v>
      </c>
      <c r="BB216" s="60">
        <v>555.35</v>
      </c>
      <c r="BC216" s="60"/>
      <c r="BD216" s="60">
        <f t="shared" si="522"/>
        <v>7.2299999999999045</v>
      </c>
      <c r="BE216" s="60">
        <f t="shared" si="522"/>
        <v>0</v>
      </c>
      <c r="BF216" s="60">
        <f t="shared" si="523"/>
        <v>111.07</v>
      </c>
      <c r="BG216" s="60">
        <f t="shared" si="523"/>
        <v>0</v>
      </c>
      <c r="BH216" s="43">
        <v>51.92</v>
      </c>
      <c r="BI216" s="43">
        <v>0</v>
      </c>
      <c r="BJ216" s="43"/>
      <c r="BK216" s="43"/>
      <c r="BL216" s="43">
        <f t="shared" si="545"/>
        <v>614.49999999999989</v>
      </c>
      <c r="BM216" s="43">
        <f t="shared" si="545"/>
        <v>0</v>
      </c>
      <c r="BN216" s="43">
        <f t="shared" si="573"/>
        <v>614.49999999999989</v>
      </c>
      <c r="BO216" s="43">
        <v>613.58000000000004</v>
      </c>
      <c r="BP216" s="93"/>
      <c r="BQ216" s="43">
        <f t="shared" si="549"/>
        <v>0.91999999999984539</v>
      </c>
      <c r="BR216" s="43">
        <f t="shared" si="549"/>
        <v>0</v>
      </c>
      <c r="BS216" s="43">
        <f t="shared" si="550"/>
        <v>55.78</v>
      </c>
      <c r="BT216" s="43">
        <f t="shared" si="550"/>
        <v>0</v>
      </c>
      <c r="BU216" s="43">
        <v>39.35</v>
      </c>
      <c r="BV216" s="43">
        <f t="shared" ref="BV216" si="610">BT216-BR216</f>
        <v>0</v>
      </c>
      <c r="BW216" s="43"/>
      <c r="BX216" s="43"/>
      <c r="BY216" s="43"/>
      <c r="BZ216" s="43"/>
      <c r="CA216" s="43">
        <v>653.84999999999991</v>
      </c>
      <c r="CB216" s="43">
        <v>0</v>
      </c>
      <c r="CC216" s="92">
        <v>719.24</v>
      </c>
      <c r="CD216" s="92">
        <v>0</v>
      </c>
      <c r="CE216" s="92">
        <v>60</v>
      </c>
      <c r="CF216" s="92">
        <v>0</v>
      </c>
      <c r="CG216" s="92">
        <f t="shared" si="551"/>
        <v>163.46</v>
      </c>
      <c r="CH216" s="92">
        <f t="shared" si="551"/>
        <v>0</v>
      </c>
      <c r="CI216" s="43"/>
      <c r="CJ216" s="43"/>
      <c r="CK216" s="43">
        <v>180</v>
      </c>
      <c r="CL216" s="43">
        <v>0</v>
      </c>
      <c r="CM216" s="43"/>
      <c r="CN216" s="43"/>
      <c r="CO216" s="43">
        <v>835.29</v>
      </c>
      <c r="CP216" s="43"/>
      <c r="CQ216" s="43">
        <f t="shared" si="552"/>
        <v>720</v>
      </c>
      <c r="CR216" s="43">
        <f t="shared" si="552"/>
        <v>0</v>
      </c>
      <c r="CS216" s="43">
        <f t="shared" si="553"/>
        <v>720</v>
      </c>
      <c r="CT216" s="43">
        <f t="shared" si="553"/>
        <v>0</v>
      </c>
      <c r="CU216" s="43">
        <f t="shared" si="553"/>
        <v>720</v>
      </c>
      <c r="CV216" s="43">
        <f t="shared" si="553"/>
        <v>0</v>
      </c>
      <c r="CW216" s="43">
        <f t="shared" si="554"/>
        <v>180</v>
      </c>
      <c r="CX216" s="43">
        <f t="shared" si="554"/>
        <v>0</v>
      </c>
      <c r="CY216" s="43"/>
      <c r="CZ216" s="43"/>
      <c r="DA216" s="43">
        <f t="shared" si="555"/>
        <v>420</v>
      </c>
      <c r="DB216" s="43">
        <f t="shared" si="555"/>
        <v>0</v>
      </c>
      <c r="DC216" s="43">
        <v>410.84</v>
      </c>
      <c r="DD216" s="43"/>
      <c r="DE216" s="43">
        <f t="shared" si="556"/>
        <v>9.160000000000025</v>
      </c>
      <c r="DF216" s="43">
        <f t="shared" si="556"/>
        <v>0</v>
      </c>
      <c r="DG216" s="43">
        <f t="shared" si="606"/>
        <v>156.54</v>
      </c>
      <c r="DH216" s="43">
        <f t="shared" si="606"/>
        <v>0</v>
      </c>
      <c r="DI216" s="43">
        <f>+DG216-DE216</f>
        <v>147.37999999999997</v>
      </c>
      <c r="DJ216" s="43">
        <f>+DH216-DF216</f>
        <v>0</v>
      </c>
      <c r="DK216" s="43"/>
      <c r="DL216" s="43"/>
      <c r="DM216" s="43">
        <f t="shared" si="558"/>
        <v>567.38</v>
      </c>
      <c r="DN216" s="43">
        <f t="shared" si="558"/>
        <v>0</v>
      </c>
      <c r="DO216" s="94">
        <v>564.58000000000004</v>
      </c>
      <c r="DP216" s="95"/>
      <c r="DQ216" s="60">
        <f t="shared" si="559"/>
        <v>2.8</v>
      </c>
      <c r="DR216" s="60">
        <f t="shared" si="559"/>
        <v>0</v>
      </c>
      <c r="DS216" s="60">
        <f t="shared" si="560"/>
        <v>56.458000000000006</v>
      </c>
      <c r="DT216" s="60">
        <f t="shared" si="560"/>
        <v>0</v>
      </c>
      <c r="DU216" s="60">
        <f t="shared" si="561"/>
        <v>53.658000000000008</v>
      </c>
      <c r="DV216" s="60">
        <f t="shared" si="561"/>
        <v>0</v>
      </c>
      <c r="DW216" s="60"/>
      <c r="DX216" s="60"/>
      <c r="DY216" s="60">
        <f t="shared" si="569"/>
        <v>53.66</v>
      </c>
      <c r="DZ216" s="60">
        <f t="shared" si="569"/>
        <v>0</v>
      </c>
      <c r="EA216" s="60"/>
      <c r="EB216" s="60"/>
      <c r="EC216" s="43">
        <f t="shared" si="562"/>
        <v>621.04</v>
      </c>
      <c r="ED216" s="43">
        <f t="shared" si="562"/>
        <v>0</v>
      </c>
      <c r="EE216" s="43">
        <v>564.58000000000004</v>
      </c>
      <c r="EF216" s="43">
        <v>0</v>
      </c>
      <c r="EG216" s="43">
        <f t="shared" si="607"/>
        <v>90.91</v>
      </c>
      <c r="EH216" s="43" t="e">
        <f t="shared" si="607"/>
        <v>#DIV/0!</v>
      </c>
      <c r="EI216" s="43">
        <f t="shared" si="563"/>
        <v>56.46</v>
      </c>
      <c r="EJ216" s="43">
        <f t="shared" si="563"/>
        <v>0</v>
      </c>
      <c r="EK216" s="43">
        <f t="shared" si="564"/>
        <v>51.33</v>
      </c>
      <c r="EL216" s="43">
        <f t="shared" si="564"/>
        <v>0</v>
      </c>
      <c r="EM216" s="43">
        <f t="shared" si="565"/>
        <v>-5.1300000000000026</v>
      </c>
      <c r="EN216" s="43">
        <f t="shared" si="565"/>
        <v>0</v>
      </c>
      <c r="EO216" s="43">
        <v>0</v>
      </c>
      <c r="EP216" s="43">
        <v>0</v>
      </c>
      <c r="EQ216" s="5"/>
      <c r="ER216" s="5"/>
      <c r="ES216" s="5"/>
      <c r="ET216" s="5"/>
      <c r="EU216" s="5">
        <f t="shared" si="442"/>
        <v>5.1100000000000136</v>
      </c>
      <c r="EV216" s="5">
        <f t="shared" si="442"/>
        <v>0</v>
      </c>
      <c r="EW216" s="5">
        <v>626.15</v>
      </c>
      <c r="EY216" s="5">
        <v>822.17</v>
      </c>
    </row>
    <row r="217" spans="1:162" ht="18.75" x14ac:dyDescent="0.25">
      <c r="A217" s="68"/>
      <c r="B217" s="68" t="s">
        <v>458</v>
      </c>
      <c r="C217" s="91" t="s">
        <v>193</v>
      </c>
      <c r="D217" s="67" t="s">
        <v>456</v>
      </c>
      <c r="E217" s="69" t="s">
        <v>459</v>
      </c>
      <c r="F217" s="70">
        <v>1319.15</v>
      </c>
      <c r="G217" s="70">
        <v>65.33</v>
      </c>
      <c r="H217" s="70">
        <v>1397.18</v>
      </c>
      <c r="I217" s="70">
        <v>65.33</v>
      </c>
      <c r="J217" s="71">
        <f t="shared" ref="J217:AA217" si="611">+J215+J216</f>
        <v>1577.06</v>
      </c>
      <c r="K217" s="71">
        <f t="shared" si="611"/>
        <v>0</v>
      </c>
      <c r="L217" s="71">
        <f t="shared" si="611"/>
        <v>0</v>
      </c>
      <c r="M217" s="71">
        <f t="shared" si="611"/>
        <v>1577.06</v>
      </c>
      <c r="N217" s="71">
        <f t="shared" si="611"/>
        <v>0</v>
      </c>
      <c r="O217" s="71">
        <f t="shared" si="611"/>
        <v>0</v>
      </c>
      <c r="P217" s="71">
        <f t="shared" si="611"/>
        <v>0</v>
      </c>
      <c r="Q217" s="71">
        <f t="shared" si="611"/>
        <v>0</v>
      </c>
      <c r="R217" s="71">
        <f t="shared" si="611"/>
        <v>1577.06</v>
      </c>
      <c r="S217" s="71">
        <f t="shared" si="611"/>
        <v>60</v>
      </c>
      <c r="T217" s="71">
        <f t="shared" si="611"/>
        <v>0</v>
      </c>
      <c r="U217" s="71">
        <f t="shared" si="611"/>
        <v>0</v>
      </c>
      <c r="V217" s="71">
        <f t="shared" si="611"/>
        <v>1478.63</v>
      </c>
      <c r="W217" s="71">
        <f t="shared" si="611"/>
        <v>67.47</v>
      </c>
      <c r="X217" s="71">
        <f t="shared" si="611"/>
        <v>98.42999999999995</v>
      </c>
      <c r="Y217" s="71">
        <f t="shared" si="611"/>
        <v>-7.4699999999999989</v>
      </c>
      <c r="Z217" s="71">
        <f t="shared" si="611"/>
        <v>1478.63</v>
      </c>
      <c r="AA217" s="71">
        <f t="shared" si="611"/>
        <v>0</v>
      </c>
      <c r="AB217" s="70">
        <f t="shared" si="547"/>
        <v>1478.63</v>
      </c>
      <c r="AC217" s="43">
        <f t="shared" si="548"/>
        <v>0</v>
      </c>
      <c r="AD217" s="70">
        <f t="shared" ref="AD217:CP217" si="612">+AD215+AD216</f>
        <v>1478.63</v>
      </c>
      <c r="AE217" s="70">
        <f t="shared" si="612"/>
        <v>60</v>
      </c>
      <c r="AF217" s="70">
        <f t="shared" si="612"/>
        <v>54.13</v>
      </c>
      <c r="AG217" s="70">
        <f t="shared" si="612"/>
        <v>370</v>
      </c>
      <c r="AH217" s="70">
        <f t="shared" si="612"/>
        <v>15</v>
      </c>
      <c r="AI217" s="96">
        <f t="shared" si="612"/>
        <v>123</v>
      </c>
      <c r="AJ217" s="70">
        <f t="shared" si="612"/>
        <v>5</v>
      </c>
      <c r="AK217" s="70">
        <f t="shared" si="612"/>
        <v>0</v>
      </c>
      <c r="AL217" s="70">
        <f t="shared" si="612"/>
        <v>0</v>
      </c>
      <c r="AM217" s="70">
        <f t="shared" si="612"/>
        <v>369.65999999999997</v>
      </c>
      <c r="AN217" s="70">
        <f t="shared" si="612"/>
        <v>14.61</v>
      </c>
      <c r="AO217" s="70">
        <f t="shared" si="612"/>
        <v>0</v>
      </c>
      <c r="AP217" s="70">
        <f t="shared" si="612"/>
        <v>0</v>
      </c>
      <c r="AQ217" s="70">
        <f t="shared" si="612"/>
        <v>739.66</v>
      </c>
      <c r="AR217" s="70">
        <f t="shared" si="612"/>
        <v>29.61</v>
      </c>
      <c r="AS217" s="70">
        <f t="shared" si="612"/>
        <v>0</v>
      </c>
      <c r="AT217" s="70">
        <f t="shared" si="612"/>
        <v>0</v>
      </c>
      <c r="AU217" s="70">
        <f t="shared" si="612"/>
        <v>369.65999999999997</v>
      </c>
      <c r="AV217" s="70">
        <f t="shared" si="612"/>
        <v>15</v>
      </c>
      <c r="AW217" s="70">
        <f t="shared" si="612"/>
        <v>0</v>
      </c>
      <c r="AX217" s="70">
        <f t="shared" si="612"/>
        <v>0</v>
      </c>
      <c r="AY217" s="70">
        <f t="shared" si="612"/>
        <v>1232.32</v>
      </c>
      <c r="AZ217" s="70">
        <f t="shared" si="612"/>
        <v>49.61</v>
      </c>
      <c r="BA217" s="70">
        <f t="shared" si="612"/>
        <v>1281.9299999999998</v>
      </c>
      <c r="BB217" s="70">
        <f t="shared" si="612"/>
        <v>1244.33</v>
      </c>
      <c r="BC217" s="70">
        <f t="shared" si="612"/>
        <v>45.96</v>
      </c>
      <c r="BD217" s="70">
        <f t="shared" si="612"/>
        <v>-12.010000000000105</v>
      </c>
      <c r="BE217" s="70">
        <f t="shared" si="612"/>
        <v>3.6499999999999986</v>
      </c>
      <c r="BF217" s="70">
        <f t="shared" si="612"/>
        <v>248.87</v>
      </c>
      <c r="BG217" s="96">
        <f t="shared" si="612"/>
        <v>9.19</v>
      </c>
      <c r="BH217" s="96">
        <f t="shared" si="612"/>
        <v>143.05000000000001</v>
      </c>
      <c r="BI217" s="96">
        <f t="shared" si="612"/>
        <v>2.77</v>
      </c>
      <c r="BJ217" s="96">
        <f t="shared" si="612"/>
        <v>0</v>
      </c>
      <c r="BK217" s="96">
        <f t="shared" si="612"/>
        <v>0</v>
      </c>
      <c r="BL217" s="96">
        <f t="shared" si="612"/>
        <v>1375.37</v>
      </c>
      <c r="BM217" s="96">
        <f t="shared" si="612"/>
        <v>52.38</v>
      </c>
      <c r="BN217" s="96">
        <f t="shared" si="612"/>
        <v>1427.75</v>
      </c>
      <c r="BO217" s="96">
        <f t="shared" si="612"/>
        <v>1371.2</v>
      </c>
      <c r="BP217" s="96">
        <f t="shared" si="612"/>
        <v>45.96</v>
      </c>
      <c r="BQ217" s="70">
        <f t="shared" si="612"/>
        <v>4.1699999999998454</v>
      </c>
      <c r="BR217" s="70">
        <f t="shared" si="612"/>
        <v>6.4200000000000017</v>
      </c>
      <c r="BS217" s="70">
        <f t="shared" si="612"/>
        <v>124.65</v>
      </c>
      <c r="BT217" s="70">
        <f t="shared" si="612"/>
        <v>4.18</v>
      </c>
      <c r="BU217" s="70">
        <f t="shared" si="612"/>
        <v>120.48000000000002</v>
      </c>
      <c r="BV217" s="70">
        <f t="shared" si="612"/>
        <v>0</v>
      </c>
      <c r="BW217" s="70">
        <f t="shared" si="612"/>
        <v>0</v>
      </c>
      <c r="BX217" s="70">
        <f t="shared" si="612"/>
        <v>0</v>
      </c>
      <c r="BY217" s="70">
        <f t="shared" si="612"/>
        <v>3.64</v>
      </c>
      <c r="BZ217" s="70">
        <f t="shared" si="612"/>
        <v>0</v>
      </c>
      <c r="CA217" s="70">
        <f t="shared" si="612"/>
        <v>1495.85</v>
      </c>
      <c r="CB217" s="70">
        <f t="shared" si="612"/>
        <v>48.74</v>
      </c>
      <c r="CC217" s="70">
        <f t="shared" si="612"/>
        <v>1645.44</v>
      </c>
      <c r="CD217" s="70">
        <f t="shared" si="612"/>
        <v>56.05</v>
      </c>
      <c r="CE217" s="70">
        <f t="shared" si="612"/>
        <v>137</v>
      </c>
      <c r="CF217" s="70">
        <f t="shared" si="612"/>
        <v>5</v>
      </c>
      <c r="CG217" s="70">
        <f t="shared" si="612"/>
        <v>373.96000000000004</v>
      </c>
      <c r="CH217" s="96">
        <f t="shared" si="612"/>
        <v>12.19</v>
      </c>
      <c r="CI217" s="70">
        <f t="shared" si="612"/>
        <v>0</v>
      </c>
      <c r="CJ217" s="70">
        <f t="shared" si="612"/>
        <v>0</v>
      </c>
      <c r="CK217" s="70">
        <f t="shared" si="612"/>
        <v>415</v>
      </c>
      <c r="CL217" s="70">
        <f t="shared" si="612"/>
        <v>0</v>
      </c>
      <c r="CM217" s="70">
        <f t="shared" si="612"/>
        <v>0</v>
      </c>
      <c r="CN217" s="70">
        <f t="shared" si="612"/>
        <v>0</v>
      </c>
      <c r="CO217" s="70">
        <f t="shared" si="612"/>
        <v>1787.82</v>
      </c>
      <c r="CP217" s="70">
        <f t="shared" si="612"/>
        <v>95</v>
      </c>
      <c r="CQ217" s="70">
        <f t="shared" ref="CQ217:FB217" si="613">+CQ215+CQ216</f>
        <v>1660</v>
      </c>
      <c r="CR217" s="70">
        <f t="shared" si="613"/>
        <v>0</v>
      </c>
      <c r="CS217" s="70">
        <f t="shared" si="613"/>
        <v>1660</v>
      </c>
      <c r="CT217" s="70">
        <f t="shared" si="613"/>
        <v>95</v>
      </c>
      <c r="CU217" s="70">
        <f t="shared" si="613"/>
        <v>1660</v>
      </c>
      <c r="CV217" s="70">
        <f t="shared" si="613"/>
        <v>95</v>
      </c>
      <c r="CW217" s="70">
        <f t="shared" si="613"/>
        <v>415</v>
      </c>
      <c r="CX217" s="70">
        <f t="shared" si="613"/>
        <v>23.75</v>
      </c>
      <c r="CY217" s="70">
        <f t="shared" si="613"/>
        <v>0</v>
      </c>
      <c r="CZ217" s="70">
        <f t="shared" si="613"/>
        <v>0</v>
      </c>
      <c r="DA217" s="70">
        <f t="shared" si="613"/>
        <v>967</v>
      </c>
      <c r="DB217" s="70">
        <f t="shared" si="613"/>
        <v>28.75</v>
      </c>
      <c r="DC217" s="70">
        <f t="shared" si="613"/>
        <v>938.18000000000006</v>
      </c>
      <c r="DD217" s="70">
        <f t="shared" si="613"/>
        <v>0</v>
      </c>
      <c r="DE217" s="70">
        <f t="shared" si="613"/>
        <v>28.819999999999993</v>
      </c>
      <c r="DF217" s="70">
        <f t="shared" si="613"/>
        <v>28.75</v>
      </c>
      <c r="DG217" s="70">
        <f t="shared" si="613"/>
        <v>391.53999999999996</v>
      </c>
      <c r="DH217" s="70">
        <f t="shared" si="613"/>
        <v>23.75</v>
      </c>
      <c r="DI217" s="70">
        <f t="shared" si="613"/>
        <v>362.72</v>
      </c>
      <c r="DJ217" s="70">
        <f t="shared" si="613"/>
        <v>0</v>
      </c>
      <c r="DK217" s="70">
        <f t="shared" si="613"/>
        <v>20</v>
      </c>
      <c r="DL217" s="70">
        <f t="shared" si="613"/>
        <v>0</v>
      </c>
      <c r="DM217" s="70">
        <f t="shared" si="613"/>
        <v>1349.72</v>
      </c>
      <c r="DN217" s="70">
        <f t="shared" si="613"/>
        <v>28.75</v>
      </c>
      <c r="DO217" s="70">
        <f t="shared" si="613"/>
        <v>1341.4</v>
      </c>
      <c r="DP217" s="70">
        <f t="shared" si="613"/>
        <v>0</v>
      </c>
      <c r="DQ217" s="70">
        <f t="shared" si="613"/>
        <v>8.32</v>
      </c>
      <c r="DR217" s="70">
        <f t="shared" si="613"/>
        <v>28.75</v>
      </c>
      <c r="DS217" s="70">
        <f t="shared" si="613"/>
        <v>134.14000000000001</v>
      </c>
      <c r="DT217" s="70">
        <f t="shared" si="613"/>
        <v>0</v>
      </c>
      <c r="DU217" s="70">
        <f t="shared" si="613"/>
        <v>125.82000000000002</v>
      </c>
      <c r="DV217" s="70">
        <f t="shared" si="613"/>
        <v>-28.75</v>
      </c>
      <c r="DW217" s="70">
        <f t="shared" si="613"/>
        <v>0</v>
      </c>
      <c r="DX217" s="70">
        <f t="shared" si="613"/>
        <v>0</v>
      </c>
      <c r="DY217" s="70">
        <f t="shared" si="613"/>
        <v>125.82</v>
      </c>
      <c r="DZ217" s="70">
        <f t="shared" si="613"/>
        <v>0</v>
      </c>
      <c r="EA217" s="70">
        <f t="shared" si="613"/>
        <v>0</v>
      </c>
      <c r="EB217" s="96">
        <f t="shared" si="613"/>
        <v>66.25</v>
      </c>
      <c r="EC217" s="70">
        <f t="shared" si="613"/>
        <v>1475.54</v>
      </c>
      <c r="ED217" s="70">
        <f t="shared" si="613"/>
        <v>95</v>
      </c>
      <c r="EE217" s="70">
        <f t="shared" si="613"/>
        <v>1415.8200000000002</v>
      </c>
      <c r="EF217" s="70">
        <f t="shared" si="613"/>
        <v>90.11</v>
      </c>
      <c r="EG217" s="70">
        <f t="shared" si="613"/>
        <v>190.53</v>
      </c>
      <c r="EH217" s="70" t="e">
        <f t="shared" si="613"/>
        <v>#DIV/0!</v>
      </c>
      <c r="EI217" s="70">
        <f t="shared" si="613"/>
        <v>59.72</v>
      </c>
      <c r="EJ217" s="70">
        <f t="shared" si="613"/>
        <v>4.8899999999999997</v>
      </c>
      <c r="EK217" s="70">
        <f t="shared" si="613"/>
        <v>128.72</v>
      </c>
      <c r="EL217" s="70">
        <f t="shared" si="613"/>
        <v>8.19</v>
      </c>
      <c r="EM217" s="70">
        <f t="shared" si="613"/>
        <v>69</v>
      </c>
      <c r="EN217" s="70">
        <f t="shared" si="613"/>
        <v>3.3</v>
      </c>
      <c r="EO217" s="70">
        <f t="shared" si="613"/>
        <v>0</v>
      </c>
      <c r="EP217" s="70">
        <f t="shared" si="613"/>
        <v>0</v>
      </c>
      <c r="EQ217" s="66">
        <f t="shared" si="613"/>
        <v>0</v>
      </c>
      <c r="ER217" s="46">
        <f t="shared" si="613"/>
        <v>0</v>
      </c>
      <c r="ES217" s="46">
        <f t="shared" si="613"/>
        <v>0</v>
      </c>
      <c r="ET217" s="46">
        <f t="shared" si="613"/>
        <v>0</v>
      </c>
      <c r="EU217" s="5">
        <f t="shared" si="442"/>
        <v>186.40000000000009</v>
      </c>
      <c r="EV217" s="5">
        <f t="shared" si="442"/>
        <v>0</v>
      </c>
      <c r="EW217" s="46">
        <f t="shared" si="613"/>
        <v>1661.94</v>
      </c>
      <c r="EX217" s="46">
        <f t="shared" si="613"/>
        <v>95</v>
      </c>
      <c r="EY217" s="46">
        <f t="shared" si="613"/>
        <v>2013.17</v>
      </c>
      <c r="EZ217" s="46">
        <f t="shared" si="613"/>
        <v>50</v>
      </c>
      <c r="FA217" s="46">
        <f t="shared" si="613"/>
        <v>0</v>
      </c>
      <c r="FB217" s="46">
        <f t="shared" si="613"/>
        <v>0</v>
      </c>
      <c r="FC217" s="46">
        <f t="shared" ref="FC217:FE217" si="614">+FC215+FC216</f>
        <v>0</v>
      </c>
      <c r="FD217" s="46">
        <f t="shared" si="614"/>
        <v>0</v>
      </c>
      <c r="FE217" s="46">
        <f t="shared" si="614"/>
        <v>0</v>
      </c>
    </row>
    <row r="218" spans="1:162" ht="18.75" x14ac:dyDescent="0.25">
      <c r="A218" s="68">
        <v>26</v>
      </c>
      <c r="B218" s="68"/>
      <c r="C218" s="91" t="s">
        <v>136</v>
      </c>
      <c r="D218" s="38" t="s">
        <v>460</v>
      </c>
      <c r="E218" s="39"/>
      <c r="F218" s="40">
        <v>1327.41</v>
      </c>
      <c r="G218" s="40">
        <v>209.87000000000003</v>
      </c>
      <c r="H218" s="40">
        <v>1356</v>
      </c>
      <c r="I218" s="70">
        <v>264.87</v>
      </c>
      <c r="J218" s="41">
        <v>1250</v>
      </c>
      <c r="K218" s="41">
        <v>85</v>
      </c>
      <c r="L218" s="41">
        <v>0</v>
      </c>
      <c r="M218" s="41">
        <f t="shared" ref="M218:M220" si="615">J218+K218+L218</f>
        <v>1335</v>
      </c>
      <c r="N218" s="41">
        <v>0</v>
      </c>
      <c r="O218" s="41">
        <v>0</v>
      </c>
      <c r="P218" s="41">
        <v>0</v>
      </c>
      <c r="Q218" s="41">
        <f t="shared" ref="Q218:Q220" si="616">N218+O218+P218</f>
        <v>0</v>
      </c>
      <c r="R218" s="41">
        <f t="shared" si="543"/>
        <v>1335</v>
      </c>
      <c r="S218" s="41">
        <v>350</v>
      </c>
      <c r="T218" s="92"/>
      <c r="U218" s="92"/>
      <c r="V218" s="40">
        <f t="shared" ref="V218:V220" si="617">ROUND(H218*1.0583,2)</f>
        <v>1435.05</v>
      </c>
      <c r="W218" s="40">
        <f t="shared" ref="W218:W220" si="618">ROUND(I218*1.0327,2)</f>
        <v>273.52999999999997</v>
      </c>
      <c r="X218" s="43">
        <f t="shared" si="529"/>
        <v>-100.04999999999995</v>
      </c>
      <c r="Y218" s="43">
        <f t="shared" si="529"/>
        <v>76.470000000000027</v>
      </c>
      <c r="Z218" s="43">
        <v>1335</v>
      </c>
      <c r="AA218" s="43"/>
      <c r="AB218" s="43">
        <f t="shared" si="547"/>
        <v>1335</v>
      </c>
      <c r="AC218" s="43">
        <f t="shared" si="548"/>
        <v>0</v>
      </c>
      <c r="AD218" s="43">
        <f t="shared" ref="AD218:AE220" si="619">IF(X218&gt;0,V218,R218)</f>
        <v>1335</v>
      </c>
      <c r="AE218" s="43">
        <f t="shared" si="619"/>
        <v>273.52999999999997</v>
      </c>
      <c r="AF218" s="43">
        <f t="shared" si="570"/>
        <v>315.77</v>
      </c>
      <c r="AG218" s="43">
        <f t="shared" si="530"/>
        <v>334</v>
      </c>
      <c r="AH218" s="43">
        <f t="shared" si="530"/>
        <v>68</v>
      </c>
      <c r="AI218" s="93">
        <f t="shared" si="531"/>
        <v>111</v>
      </c>
      <c r="AJ218" s="43">
        <f t="shared" si="531"/>
        <v>23</v>
      </c>
      <c r="AK218" s="43"/>
      <c r="AL218" s="43">
        <f>33.18+91.82</f>
        <v>125</v>
      </c>
      <c r="AM218" s="43">
        <f t="shared" si="571"/>
        <v>333.75</v>
      </c>
      <c r="AN218" s="43">
        <f>ROUND(AE218*24.35%,2)-16.6</f>
        <v>49.999999999999993</v>
      </c>
      <c r="AO218" s="43"/>
      <c r="AP218" s="43"/>
      <c r="AQ218" s="43">
        <f t="shared" si="532"/>
        <v>667.75</v>
      </c>
      <c r="AR218" s="43">
        <f t="shared" si="532"/>
        <v>243</v>
      </c>
      <c r="AS218" s="43"/>
      <c r="AT218" s="43">
        <v>62</v>
      </c>
      <c r="AU218" s="43">
        <f t="shared" si="424"/>
        <v>333.75</v>
      </c>
      <c r="AV218" s="43">
        <f t="shared" si="424"/>
        <v>68.38</v>
      </c>
      <c r="AW218" s="43"/>
      <c r="AX218" s="43">
        <v>13.62</v>
      </c>
      <c r="AY218" s="43">
        <f t="shared" si="520"/>
        <v>1112.5</v>
      </c>
      <c r="AZ218" s="43">
        <f t="shared" si="520"/>
        <v>410</v>
      </c>
      <c r="BA218" s="43">
        <f t="shared" si="521"/>
        <v>1522.5</v>
      </c>
      <c r="BB218" s="60">
        <v>1050.58</v>
      </c>
      <c r="BC218" s="60">
        <v>407.16</v>
      </c>
      <c r="BD218" s="60">
        <f t="shared" si="522"/>
        <v>61.920000000000073</v>
      </c>
      <c r="BE218" s="60">
        <f t="shared" si="522"/>
        <v>2.839999999999975</v>
      </c>
      <c r="BF218" s="60">
        <f t="shared" si="523"/>
        <v>210.12</v>
      </c>
      <c r="BG218" s="60">
        <f t="shared" si="523"/>
        <v>81.430000000000007</v>
      </c>
      <c r="BH218" s="43">
        <v>74.099999999999994</v>
      </c>
      <c r="BI218" s="43">
        <v>35</v>
      </c>
      <c r="BJ218" s="43"/>
      <c r="BK218" s="43"/>
      <c r="BL218" s="43">
        <f t="shared" si="545"/>
        <v>1186.5999999999999</v>
      </c>
      <c r="BM218" s="43">
        <f t="shared" si="545"/>
        <v>445</v>
      </c>
      <c r="BN218" s="43">
        <f t="shared" si="573"/>
        <v>1631.6</v>
      </c>
      <c r="BO218" s="43">
        <v>1158.6099999999999</v>
      </c>
      <c r="BP218" s="93">
        <v>420.75</v>
      </c>
      <c r="BQ218" s="43">
        <f t="shared" si="549"/>
        <v>27.990000000000009</v>
      </c>
      <c r="BR218" s="43">
        <f t="shared" si="549"/>
        <v>24.25</v>
      </c>
      <c r="BS218" s="43">
        <f t="shared" si="550"/>
        <v>105.33</v>
      </c>
      <c r="BT218" s="43">
        <f t="shared" si="550"/>
        <v>38.25</v>
      </c>
      <c r="BU218" s="43">
        <f t="shared" ref="BU218:BV220" si="620">ROUND(BS218-BQ218,2)</f>
        <v>77.34</v>
      </c>
      <c r="BV218" s="43">
        <f>ROUND(BT218-BR218,2)</f>
        <v>14</v>
      </c>
      <c r="BW218" s="43">
        <f>13.79+4</f>
        <v>17.79</v>
      </c>
      <c r="BX218" s="43"/>
      <c r="BY218" s="43"/>
      <c r="BZ218" s="43"/>
      <c r="CA218" s="43">
        <v>1281.7299999999998</v>
      </c>
      <c r="CB218" s="43">
        <v>459</v>
      </c>
      <c r="CC218" s="92">
        <v>1409.9</v>
      </c>
      <c r="CD218" s="92">
        <v>527.85</v>
      </c>
      <c r="CE218" s="92">
        <v>117</v>
      </c>
      <c r="CF218" s="92">
        <v>44</v>
      </c>
      <c r="CG218" s="92">
        <f t="shared" si="551"/>
        <v>320.43</v>
      </c>
      <c r="CH218" s="92">
        <f t="shared" si="551"/>
        <v>114.75</v>
      </c>
      <c r="CI218" s="43"/>
      <c r="CJ218" s="43"/>
      <c r="CK218" s="43">
        <v>328</v>
      </c>
      <c r="CL218" s="43">
        <v>12</v>
      </c>
      <c r="CM218" s="43"/>
      <c r="CN218" s="43"/>
      <c r="CO218" s="43">
        <v>1420</v>
      </c>
      <c r="CP218" s="43">
        <v>250</v>
      </c>
      <c r="CQ218" s="43">
        <f t="shared" si="552"/>
        <v>1312</v>
      </c>
      <c r="CR218" s="43">
        <f t="shared" si="552"/>
        <v>48</v>
      </c>
      <c r="CS218" s="43">
        <f t="shared" si="553"/>
        <v>1312</v>
      </c>
      <c r="CT218" s="74">
        <f>IF(CP218&lt;CR218,CP218,CR218)+272</f>
        <v>320</v>
      </c>
      <c r="CU218" s="43">
        <v>1670</v>
      </c>
      <c r="CV218" s="74">
        <f>IF(CR218&lt;CT218,CR218,CT218)+272</f>
        <v>320</v>
      </c>
      <c r="CW218" s="43">
        <f t="shared" si="554"/>
        <v>417.5</v>
      </c>
      <c r="CX218" s="74">
        <v>40</v>
      </c>
      <c r="CY218" s="74"/>
      <c r="CZ218" s="74">
        <v>3</v>
      </c>
      <c r="DA218" s="43">
        <f t="shared" si="555"/>
        <v>862.5</v>
      </c>
      <c r="DB218" s="43">
        <f t="shared" si="555"/>
        <v>99</v>
      </c>
      <c r="DC218" s="74">
        <v>779.37</v>
      </c>
      <c r="DD218" s="74">
        <v>98.61</v>
      </c>
      <c r="DE218" s="43">
        <f t="shared" si="556"/>
        <v>83.13</v>
      </c>
      <c r="DF218" s="43">
        <f t="shared" si="556"/>
        <v>0.39000000000000057</v>
      </c>
      <c r="DG218" s="43">
        <f t="shared" ref="DG218:DH220" si="621">ROUND(0.25*(MIN(CU218,EW218)),2)</f>
        <v>350</v>
      </c>
      <c r="DH218" s="43">
        <f t="shared" si="621"/>
        <v>80</v>
      </c>
      <c r="DI218" s="43">
        <f t="shared" ref="DI218:DI220" si="622">+DG218-DE218</f>
        <v>266.87</v>
      </c>
      <c r="DJ218" s="43">
        <f>+DH218-DF218</f>
        <v>79.61</v>
      </c>
      <c r="DK218" s="43">
        <v>70</v>
      </c>
      <c r="DL218" s="43"/>
      <c r="DM218" s="43">
        <f t="shared" si="558"/>
        <v>1199.3699999999999</v>
      </c>
      <c r="DN218" s="43">
        <f t="shared" si="558"/>
        <v>178.61</v>
      </c>
      <c r="DO218" s="94">
        <v>1193.4000000000001</v>
      </c>
      <c r="DP218" s="95">
        <v>143.83000000000001</v>
      </c>
      <c r="DQ218" s="60">
        <f t="shared" si="559"/>
        <v>5.97</v>
      </c>
      <c r="DR218" s="60">
        <f t="shared" si="559"/>
        <v>34.78</v>
      </c>
      <c r="DS218" s="60">
        <f t="shared" si="560"/>
        <v>119.34</v>
      </c>
      <c r="DT218" s="60">
        <f t="shared" si="560"/>
        <v>14.383000000000001</v>
      </c>
      <c r="DU218" s="60">
        <f t="shared" si="561"/>
        <v>113.37</v>
      </c>
      <c r="DV218" s="60">
        <f t="shared" si="561"/>
        <v>-20.396999999999998</v>
      </c>
      <c r="DW218" s="60"/>
      <c r="DX218" s="60"/>
      <c r="DY218" s="60">
        <v>130</v>
      </c>
      <c r="DZ218" s="60">
        <v>10</v>
      </c>
      <c r="EA218" s="60"/>
      <c r="EB218" s="60"/>
      <c r="EC218" s="43">
        <f t="shared" si="562"/>
        <v>1329.37</v>
      </c>
      <c r="ED218" s="43">
        <f t="shared" si="562"/>
        <v>188.61</v>
      </c>
      <c r="EE218" s="43">
        <v>1310.76</v>
      </c>
      <c r="EF218" s="43">
        <v>158.19</v>
      </c>
      <c r="EG218" s="43">
        <f t="shared" si="607"/>
        <v>98.6</v>
      </c>
      <c r="EH218" s="43">
        <f t="shared" si="607"/>
        <v>83.87</v>
      </c>
      <c r="EI218" s="43">
        <f t="shared" si="563"/>
        <v>18.61</v>
      </c>
      <c r="EJ218" s="43">
        <f t="shared" si="563"/>
        <v>30.42</v>
      </c>
      <c r="EK218" s="43">
        <f t="shared" si="564"/>
        <v>119.16</v>
      </c>
      <c r="EL218" s="43">
        <f t="shared" si="564"/>
        <v>14.38</v>
      </c>
      <c r="EM218" s="43">
        <f t="shared" si="565"/>
        <v>100.55</v>
      </c>
      <c r="EN218" s="43">
        <f t="shared" si="565"/>
        <v>-16.04</v>
      </c>
      <c r="EO218" s="43">
        <v>110</v>
      </c>
      <c r="EP218" s="43">
        <v>76.63</v>
      </c>
      <c r="EQ218" s="5"/>
      <c r="ER218" s="5"/>
      <c r="ES218" s="45">
        <v>237</v>
      </c>
      <c r="ET218" s="45">
        <v>84.8</v>
      </c>
      <c r="EU218" s="5">
        <f t="shared" si="442"/>
        <v>-39.369999999999891</v>
      </c>
      <c r="EV218" s="5">
        <f t="shared" si="442"/>
        <v>64.759999999999991</v>
      </c>
      <c r="EW218" s="5">
        <v>1400</v>
      </c>
      <c r="EX218" s="5">
        <v>330</v>
      </c>
      <c r="EY218" s="5">
        <v>1450</v>
      </c>
      <c r="EZ218" s="5">
        <v>275</v>
      </c>
    </row>
    <row r="219" spans="1:162" ht="37.5" x14ac:dyDescent="0.25">
      <c r="A219" s="37">
        <v>27</v>
      </c>
      <c r="B219" s="37"/>
      <c r="C219" s="91" t="s">
        <v>136</v>
      </c>
      <c r="D219" s="38" t="s">
        <v>461</v>
      </c>
      <c r="E219" s="39"/>
      <c r="F219" s="40">
        <v>1689.9</v>
      </c>
      <c r="G219" s="40">
        <v>0</v>
      </c>
      <c r="H219" s="40">
        <v>1796.96</v>
      </c>
      <c r="I219" s="40">
        <v>0</v>
      </c>
      <c r="J219" s="41">
        <v>1953.47</v>
      </c>
      <c r="K219" s="41">
        <v>0</v>
      </c>
      <c r="L219" s="41">
        <v>0</v>
      </c>
      <c r="M219" s="41">
        <f t="shared" si="615"/>
        <v>1953.47</v>
      </c>
      <c r="N219" s="41">
        <v>0</v>
      </c>
      <c r="O219" s="41">
        <v>0</v>
      </c>
      <c r="P219" s="41">
        <v>0</v>
      </c>
      <c r="Q219" s="41">
        <f t="shared" si="616"/>
        <v>0</v>
      </c>
      <c r="R219" s="41">
        <f t="shared" si="543"/>
        <v>1953.47</v>
      </c>
      <c r="S219" s="41">
        <v>0</v>
      </c>
      <c r="T219" s="92"/>
      <c r="U219" s="92"/>
      <c r="V219" s="40">
        <f t="shared" si="617"/>
        <v>1901.72</v>
      </c>
      <c r="W219" s="40">
        <f t="shared" si="618"/>
        <v>0</v>
      </c>
      <c r="X219" s="43">
        <f t="shared" si="529"/>
        <v>51.75</v>
      </c>
      <c r="Y219" s="43">
        <f t="shared" si="529"/>
        <v>0</v>
      </c>
      <c r="Z219" s="43">
        <v>1901.72</v>
      </c>
      <c r="AA219" s="43"/>
      <c r="AB219" s="43">
        <f t="shared" si="547"/>
        <v>1901.72</v>
      </c>
      <c r="AC219" s="43">
        <f t="shared" si="548"/>
        <v>0</v>
      </c>
      <c r="AD219" s="43">
        <f t="shared" si="619"/>
        <v>1901.72</v>
      </c>
      <c r="AE219" s="43">
        <f t="shared" si="619"/>
        <v>0</v>
      </c>
      <c r="AF219" s="43">
        <f t="shared" si="570"/>
        <v>0</v>
      </c>
      <c r="AG219" s="43">
        <f t="shared" si="530"/>
        <v>475</v>
      </c>
      <c r="AH219" s="43">
        <f t="shared" si="530"/>
        <v>0</v>
      </c>
      <c r="AI219" s="93">
        <f t="shared" si="531"/>
        <v>158</v>
      </c>
      <c r="AJ219" s="43">
        <f t="shared" si="531"/>
        <v>0</v>
      </c>
      <c r="AK219" s="43"/>
      <c r="AL219" s="43"/>
      <c r="AM219" s="43">
        <f t="shared" si="571"/>
        <v>475.43</v>
      </c>
      <c r="AN219" s="43">
        <f t="shared" si="572"/>
        <v>0</v>
      </c>
      <c r="AO219" s="43"/>
      <c r="AP219" s="43"/>
      <c r="AQ219" s="43">
        <f t="shared" si="532"/>
        <v>950.43000000000006</v>
      </c>
      <c r="AR219" s="43">
        <f t="shared" si="532"/>
        <v>0</v>
      </c>
      <c r="AS219" s="43"/>
      <c r="AT219" s="43"/>
      <c r="AU219" s="43">
        <f t="shared" ref="AU219:AV282" si="623">ROUND(AD219*25%,2)</f>
        <v>475.43</v>
      </c>
      <c r="AV219" s="43">
        <f t="shared" si="623"/>
        <v>0</v>
      </c>
      <c r="AW219" s="43"/>
      <c r="AX219" s="43"/>
      <c r="AY219" s="43">
        <f t="shared" si="520"/>
        <v>1583.8600000000001</v>
      </c>
      <c r="AZ219" s="43">
        <f t="shared" si="520"/>
        <v>0</v>
      </c>
      <c r="BA219" s="43">
        <f t="shared" si="521"/>
        <v>1583.8600000000001</v>
      </c>
      <c r="BB219" s="60">
        <v>1583.86</v>
      </c>
      <c r="BC219" s="60"/>
      <c r="BD219" s="60">
        <f t="shared" si="522"/>
        <v>0</v>
      </c>
      <c r="BE219" s="60">
        <f t="shared" si="522"/>
        <v>0</v>
      </c>
      <c r="BF219" s="60">
        <f t="shared" si="523"/>
        <v>316.77</v>
      </c>
      <c r="BG219" s="60">
        <f t="shared" si="523"/>
        <v>0</v>
      </c>
      <c r="BH219" s="43">
        <v>158.38999999999999</v>
      </c>
      <c r="BI219" s="43">
        <v>0</v>
      </c>
      <c r="BJ219" s="43"/>
      <c r="BK219" s="43"/>
      <c r="BL219" s="43">
        <f t="shared" si="545"/>
        <v>1742.25</v>
      </c>
      <c r="BM219" s="43">
        <f t="shared" si="545"/>
        <v>0</v>
      </c>
      <c r="BN219" s="43">
        <f t="shared" si="573"/>
        <v>1742.25</v>
      </c>
      <c r="BO219" s="43">
        <v>1583.86</v>
      </c>
      <c r="BP219" s="93"/>
      <c r="BQ219" s="43">
        <f t="shared" si="549"/>
        <v>158.3900000000001</v>
      </c>
      <c r="BR219" s="43">
        <f t="shared" si="549"/>
        <v>0</v>
      </c>
      <c r="BS219" s="43">
        <f t="shared" si="550"/>
        <v>143.99</v>
      </c>
      <c r="BT219" s="43">
        <f t="shared" si="550"/>
        <v>0</v>
      </c>
      <c r="BU219" s="43">
        <f t="shared" si="620"/>
        <v>-14.4</v>
      </c>
      <c r="BV219" s="43">
        <f t="shared" si="620"/>
        <v>0</v>
      </c>
      <c r="BW219" s="43">
        <f>388.88+14.4</f>
        <v>403.28</v>
      </c>
      <c r="BX219" s="43"/>
      <c r="BY219" s="43"/>
      <c r="BZ219" s="43"/>
      <c r="CA219" s="43">
        <v>2131.13</v>
      </c>
      <c r="CB219" s="43">
        <v>0</v>
      </c>
      <c r="CC219" s="92">
        <v>2344.2399999999998</v>
      </c>
      <c r="CD219" s="92">
        <v>0</v>
      </c>
      <c r="CE219" s="92">
        <v>195</v>
      </c>
      <c r="CF219" s="92">
        <v>0</v>
      </c>
      <c r="CG219" s="92">
        <f t="shared" si="551"/>
        <v>532.78</v>
      </c>
      <c r="CH219" s="92">
        <f t="shared" si="551"/>
        <v>0</v>
      </c>
      <c r="CI219" s="43"/>
      <c r="CJ219" s="43"/>
      <c r="CK219" s="43">
        <f>685-70</f>
        <v>615</v>
      </c>
      <c r="CL219" s="43">
        <v>0</v>
      </c>
      <c r="CM219" s="43"/>
      <c r="CN219" s="43"/>
      <c r="CO219" s="43">
        <v>2131.13</v>
      </c>
      <c r="CP219" s="43"/>
      <c r="CQ219" s="43">
        <f t="shared" si="552"/>
        <v>2460</v>
      </c>
      <c r="CR219" s="43">
        <f t="shared" si="552"/>
        <v>0</v>
      </c>
      <c r="CS219" s="43">
        <f t="shared" si="553"/>
        <v>2131.13</v>
      </c>
      <c r="CT219" s="43">
        <f t="shared" si="553"/>
        <v>0</v>
      </c>
      <c r="CU219" s="43">
        <v>2740</v>
      </c>
      <c r="CV219" s="43">
        <f t="shared" si="553"/>
        <v>0</v>
      </c>
      <c r="CW219" s="43">
        <f t="shared" si="554"/>
        <v>685</v>
      </c>
      <c r="CX219" s="43">
        <f t="shared" si="554"/>
        <v>0</v>
      </c>
      <c r="CY219" s="43"/>
      <c r="CZ219" s="43"/>
      <c r="DA219" s="43">
        <f t="shared" si="555"/>
        <v>1495</v>
      </c>
      <c r="DB219" s="43">
        <f t="shared" si="555"/>
        <v>0</v>
      </c>
      <c r="DC219" s="43">
        <v>1495</v>
      </c>
      <c r="DD219" s="43">
        <v>0</v>
      </c>
      <c r="DE219" s="43">
        <f t="shared" si="556"/>
        <v>0</v>
      </c>
      <c r="DF219" s="43">
        <f t="shared" si="556"/>
        <v>0</v>
      </c>
      <c r="DG219" s="43">
        <f t="shared" si="621"/>
        <v>685</v>
      </c>
      <c r="DH219" s="43">
        <f t="shared" si="621"/>
        <v>0</v>
      </c>
      <c r="DI219" s="43">
        <f t="shared" si="622"/>
        <v>685</v>
      </c>
      <c r="DJ219" s="43">
        <f>+DH219-DF219</f>
        <v>0</v>
      </c>
      <c r="DK219" s="43"/>
      <c r="DL219" s="43"/>
      <c r="DM219" s="43">
        <f t="shared" si="558"/>
        <v>2180</v>
      </c>
      <c r="DN219" s="43">
        <f t="shared" si="558"/>
        <v>0</v>
      </c>
      <c r="DO219" s="94">
        <v>2180</v>
      </c>
      <c r="DP219" s="95">
        <v>0</v>
      </c>
      <c r="DQ219" s="60">
        <f t="shared" si="559"/>
        <v>0</v>
      </c>
      <c r="DR219" s="60">
        <f t="shared" si="559"/>
        <v>0</v>
      </c>
      <c r="DS219" s="60">
        <f t="shared" si="560"/>
        <v>218</v>
      </c>
      <c r="DT219" s="60">
        <f t="shared" si="560"/>
        <v>0</v>
      </c>
      <c r="DU219" s="60">
        <f t="shared" si="561"/>
        <v>218</v>
      </c>
      <c r="DV219" s="60">
        <f t="shared" si="561"/>
        <v>0</v>
      </c>
      <c r="DW219" s="60"/>
      <c r="DX219" s="60"/>
      <c r="DY219" s="60">
        <f t="shared" si="569"/>
        <v>218</v>
      </c>
      <c r="DZ219" s="60">
        <f t="shared" si="569"/>
        <v>0</v>
      </c>
      <c r="EA219" s="60"/>
      <c r="EB219" s="60"/>
      <c r="EC219" s="43">
        <f t="shared" si="562"/>
        <v>2398</v>
      </c>
      <c r="ED219" s="43">
        <f t="shared" si="562"/>
        <v>0</v>
      </c>
      <c r="EE219" s="43">
        <v>2180</v>
      </c>
      <c r="EF219" s="43">
        <v>0</v>
      </c>
      <c r="EG219" s="43">
        <f t="shared" si="607"/>
        <v>90.91</v>
      </c>
      <c r="EH219" s="43" t="e">
        <f t="shared" si="607"/>
        <v>#DIV/0!</v>
      </c>
      <c r="EI219" s="43">
        <f t="shared" si="563"/>
        <v>218</v>
      </c>
      <c r="EJ219" s="43">
        <f t="shared" si="563"/>
        <v>0</v>
      </c>
      <c r="EK219" s="43">
        <f t="shared" si="564"/>
        <v>198.18</v>
      </c>
      <c r="EL219" s="43">
        <f t="shared" si="564"/>
        <v>0</v>
      </c>
      <c r="EM219" s="43">
        <f t="shared" si="565"/>
        <v>-19.819999999999993</v>
      </c>
      <c r="EN219" s="43">
        <f t="shared" si="565"/>
        <v>0</v>
      </c>
      <c r="EO219" s="43">
        <v>0</v>
      </c>
      <c r="EP219" s="43">
        <v>0</v>
      </c>
      <c r="EQ219" s="5"/>
      <c r="ER219" s="5"/>
      <c r="ES219" s="5"/>
      <c r="ET219" s="5"/>
      <c r="EU219" s="5">
        <f t="shared" si="442"/>
        <v>342</v>
      </c>
      <c r="EV219" s="5">
        <f t="shared" si="442"/>
        <v>0</v>
      </c>
      <c r="EW219" s="5">
        <v>2740</v>
      </c>
      <c r="EY219" s="5">
        <v>3151</v>
      </c>
    </row>
    <row r="220" spans="1:162" ht="37.5" x14ac:dyDescent="0.25">
      <c r="A220" s="37">
        <v>28</v>
      </c>
      <c r="B220" s="37"/>
      <c r="C220" s="91" t="s">
        <v>136</v>
      </c>
      <c r="D220" s="38" t="s">
        <v>462</v>
      </c>
      <c r="E220" s="39"/>
      <c r="F220" s="40">
        <v>0</v>
      </c>
      <c r="G220" s="40">
        <v>0</v>
      </c>
      <c r="H220" s="40">
        <v>121.41</v>
      </c>
      <c r="I220" s="40">
        <v>0</v>
      </c>
      <c r="J220" s="41">
        <v>0</v>
      </c>
      <c r="K220" s="41">
        <v>0</v>
      </c>
      <c r="L220" s="41">
        <v>0</v>
      </c>
      <c r="M220" s="41">
        <f t="shared" si="615"/>
        <v>0</v>
      </c>
      <c r="N220" s="41">
        <v>0</v>
      </c>
      <c r="O220" s="41">
        <v>0</v>
      </c>
      <c r="P220" s="41">
        <v>0</v>
      </c>
      <c r="Q220" s="41">
        <f t="shared" si="616"/>
        <v>0</v>
      </c>
      <c r="R220" s="41">
        <f t="shared" si="543"/>
        <v>0</v>
      </c>
      <c r="S220" s="41">
        <v>0</v>
      </c>
      <c r="T220" s="92"/>
      <c r="U220" s="92"/>
      <c r="V220" s="40">
        <f t="shared" si="617"/>
        <v>128.49</v>
      </c>
      <c r="W220" s="40">
        <f t="shared" si="618"/>
        <v>0</v>
      </c>
      <c r="X220" s="43">
        <f t="shared" si="529"/>
        <v>-128.49</v>
      </c>
      <c r="Y220" s="43">
        <f t="shared" si="529"/>
        <v>0</v>
      </c>
      <c r="Z220" s="43">
        <v>0</v>
      </c>
      <c r="AA220" s="43"/>
      <c r="AB220" s="43">
        <f t="shared" si="547"/>
        <v>0</v>
      </c>
      <c r="AC220" s="43">
        <f t="shared" si="548"/>
        <v>0</v>
      </c>
      <c r="AD220" s="43">
        <f t="shared" si="619"/>
        <v>0</v>
      </c>
      <c r="AE220" s="43">
        <f t="shared" si="619"/>
        <v>0</v>
      </c>
      <c r="AF220" s="43">
        <f t="shared" si="570"/>
        <v>0</v>
      </c>
      <c r="AG220" s="43">
        <f t="shared" si="530"/>
        <v>0</v>
      </c>
      <c r="AH220" s="43">
        <f t="shared" si="530"/>
        <v>0</v>
      </c>
      <c r="AI220" s="93">
        <f t="shared" si="531"/>
        <v>0</v>
      </c>
      <c r="AJ220" s="43">
        <f t="shared" si="531"/>
        <v>0</v>
      </c>
      <c r="AK220" s="43"/>
      <c r="AL220" s="43"/>
      <c r="AM220" s="43">
        <f t="shared" si="571"/>
        <v>0</v>
      </c>
      <c r="AN220" s="43">
        <f t="shared" si="572"/>
        <v>0</v>
      </c>
      <c r="AO220" s="43"/>
      <c r="AP220" s="43"/>
      <c r="AQ220" s="43">
        <f t="shared" si="532"/>
        <v>0</v>
      </c>
      <c r="AR220" s="43">
        <f t="shared" si="532"/>
        <v>0</v>
      </c>
      <c r="AS220" s="43"/>
      <c r="AT220" s="43"/>
      <c r="AU220" s="43">
        <f t="shared" si="623"/>
        <v>0</v>
      </c>
      <c r="AV220" s="43">
        <f t="shared" si="623"/>
        <v>0</v>
      </c>
      <c r="AW220" s="43"/>
      <c r="AX220" s="43"/>
      <c r="AY220" s="43">
        <f t="shared" si="520"/>
        <v>0</v>
      </c>
      <c r="AZ220" s="43">
        <f t="shared" si="520"/>
        <v>0</v>
      </c>
      <c r="BA220" s="43">
        <f t="shared" si="521"/>
        <v>0</v>
      </c>
      <c r="BB220" s="60">
        <v>0</v>
      </c>
      <c r="BC220" s="60"/>
      <c r="BD220" s="60">
        <f t="shared" si="522"/>
        <v>0</v>
      </c>
      <c r="BE220" s="60">
        <f t="shared" si="522"/>
        <v>0</v>
      </c>
      <c r="BF220" s="60">
        <f t="shared" si="523"/>
        <v>0</v>
      </c>
      <c r="BG220" s="60">
        <f t="shared" si="523"/>
        <v>0</v>
      </c>
      <c r="BH220" s="43">
        <v>0</v>
      </c>
      <c r="BI220" s="43">
        <v>0</v>
      </c>
      <c r="BJ220" s="43"/>
      <c r="BK220" s="43"/>
      <c r="BL220" s="43">
        <f t="shared" si="545"/>
        <v>0</v>
      </c>
      <c r="BM220" s="43">
        <f t="shared" si="545"/>
        <v>0</v>
      </c>
      <c r="BN220" s="43">
        <f t="shared" si="573"/>
        <v>0</v>
      </c>
      <c r="BO220" s="43">
        <v>0</v>
      </c>
      <c r="BP220" s="93"/>
      <c r="BQ220" s="43">
        <f t="shared" si="549"/>
        <v>0</v>
      </c>
      <c r="BR220" s="43">
        <f t="shared" si="549"/>
        <v>0</v>
      </c>
      <c r="BS220" s="43">
        <f t="shared" si="550"/>
        <v>0</v>
      </c>
      <c r="BT220" s="43">
        <f t="shared" si="550"/>
        <v>0</v>
      </c>
      <c r="BU220" s="43">
        <f>ROUND(BS220-BQ220,2)</f>
        <v>0</v>
      </c>
      <c r="BV220" s="43">
        <f t="shared" si="620"/>
        <v>0</v>
      </c>
      <c r="BW220" s="43"/>
      <c r="BX220" s="43"/>
      <c r="BY220" s="43"/>
      <c r="BZ220" s="43"/>
      <c r="CA220" s="43">
        <v>0</v>
      </c>
      <c r="CB220" s="43">
        <v>0</v>
      </c>
      <c r="CC220" s="92">
        <v>0</v>
      </c>
      <c r="CD220" s="92">
        <v>0</v>
      </c>
      <c r="CE220" s="92">
        <v>0</v>
      </c>
      <c r="CF220" s="92">
        <v>0</v>
      </c>
      <c r="CG220" s="92">
        <f t="shared" si="551"/>
        <v>0</v>
      </c>
      <c r="CH220" s="92">
        <f t="shared" si="551"/>
        <v>0</v>
      </c>
      <c r="CI220" s="43"/>
      <c r="CJ220" s="43"/>
      <c r="CK220" s="43">
        <v>0</v>
      </c>
      <c r="CL220" s="43">
        <v>0</v>
      </c>
      <c r="CM220" s="43"/>
      <c r="CN220" s="43"/>
      <c r="CO220" s="43"/>
      <c r="CP220" s="43"/>
      <c r="CQ220" s="43">
        <f t="shared" si="552"/>
        <v>0</v>
      </c>
      <c r="CR220" s="43">
        <f t="shared" si="552"/>
        <v>0</v>
      </c>
      <c r="CS220" s="43">
        <f t="shared" si="553"/>
        <v>0</v>
      </c>
      <c r="CT220" s="43">
        <f t="shared" si="553"/>
        <v>0</v>
      </c>
      <c r="CU220" s="43">
        <v>0</v>
      </c>
      <c r="CV220" s="43">
        <f t="shared" si="553"/>
        <v>0</v>
      </c>
      <c r="CW220" s="43">
        <f t="shared" si="554"/>
        <v>0</v>
      </c>
      <c r="CX220" s="43">
        <f t="shared" si="554"/>
        <v>0</v>
      </c>
      <c r="CY220" s="43"/>
      <c r="CZ220" s="43"/>
      <c r="DA220" s="43">
        <f t="shared" si="555"/>
        <v>0</v>
      </c>
      <c r="DB220" s="43">
        <f t="shared" si="555"/>
        <v>0</v>
      </c>
      <c r="DC220" s="43">
        <v>0</v>
      </c>
      <c r="DD220" s="43">
        <v>0</v>
      </c>
      <c r="DE220" s="43">
        <f t="shared" si="556"/>
        <v>0</v>
      </c>
      <c r="DF220" s="43">
        <f t="shared" si="556"/>
        <v>0</v>
      </c>
      <c r="DG220" s="43">
        <f t="shared" si="621"/>
        <v>0</v>
      </c>
      <c r="DH220" s="43">
        <f t="shared" si="621"/>
        <v>0</v>
      </c>
      <c r="DI220" s="43">
        <f t="shared" si="622"/>
        <v>0</v>
      </c>
      <c r="DJ220" s="43">
        <f>+DH220-DF220</f>
        <v>0</v>
      </c>
      <c r="DK220" s="43"/>
      <c r="DL220" s="43"/>
      <c r="DM220" s="43">
        <f t="shared" si="558"/>
        <v>0</v>
      </c>
      <c r="DN220" s="43">
        <f t="shared" si="558"/>
        <v>0</v>
      </c>
      <c r="DO220" s="94">
        <v>0</v>
      </c>
      <c r="DP220" s="95">
        <v>0</v>
      </c>
      <c r="DQ220" s="60">
        <f t="shared" si="559"/>
        <v>0</v>
      </c>
      <c r="DR220" s="60">
        <f t="shared" si="559"/>
        <v>0</v>
      </c>
      <c r="DS220" s="60">
        <f t="shared" si="560"/>
        <v>0</v>
      </c>
      <c r="DT220" s="60">
        <f t="shared" si="560"/>
        <v>0</v>
      </c>
      <c r="DU220" s="60">
        <f t="shared" si="561"/>
        <v>0</v>
      </c>
      <c r="DV220" s="60">
        <f t="shared" si="561"/>
        <v>0</v>
      </c>
      <c r="DW220" s="60"/>
      <c r="DX220" s="60"/>
      <c r="DY220" s="60">
        <f t="shared" si="569"/>
        <v>0</v>
      </c>
      <c r="DZ220" s="60">
        <f t="shared" si="569"/>
        <v>0</v>
      </c>
      <c r="EA220" s="60"/>
      <c r="EB220" s="60"/>
      <c r="EC220" s="43">
        <f t="shared" si="562"/>
        <v>0</v>
      </c>
      <c r="ED220" s="43">
        <f t="shared" si="562"/>
        <v>0</v>
      </c>
      <c r="EE220" s="43">
        <v>0</v>
      </c>
      <c r="EF220" s="43">
        <v>0</v>
      </c>
      <c r="EG220" s="43" t="e">
        <f t="shared" si="607"/>
        <v>#DIV/0!</v>
      </c>
      <c r="EH220" s="43" t="e">
        <f t="shared" si="607"/>
        <v>#DIV/0!</v>
      </c>
      <c r="EI220" s="43">
        <f t="shared" si="563"/>
        <v>0</v>
      </c>
      <c r="EJ220" s="43">
        <f t="shared" si="563"/>
        <v>0</v>
      </c>
      <c r="EK220" s="43">
        <f t="shared" si="564"/>
        <v>0</v>
      </c>
      <c r="EL220" s="43">
        <f t="shared" si="564"/>
        <v>0</v>
      </c>
      <c r="EM220" s="43">
        <f t="shared" si="565"/>
        <v>0</v>
      </c>
      <c r="EN220" s="43">
        <f t="shared" si="565"/>
        <v>0</v>
      </c>
      <c r="EO220" s="43">
        <v>0</v>
      </c>
      <c r="EP220" s="43">
        <v>0</v>
      </c>
      <c r="EQ220" s="5"/>
      <c r="ER220" s="5"/>
      <c r="ES220" s="5"/>
      <c r="ET220" s="5"/>
      <c r="EU220" s="5">
        <f t="shared" si="442"/>
        <v>0</v>
      </c>
      <c r="EV220" s="5">
        <f t="shared" si="442"/>
        <v>0</v>
      </c>
      <c r="EW220" s="5">
        <v>0</v>
      </c>
      <c r="EX220" s="5">
        <v>0</v>
      </c>
      <c r="EY220" s="5">
        <v>0</v>
      </c>
      <c r="EZ220" s="5">
        <v>0</v>
      </c>
    </row>
    <row r="221" spans="1:162" ht="18.75" x14ac:dyDescent="0.25">
      <c r="A221" s="68"/>
      <c r="B221" s="68" t="s">
        <v>463</v>
      </c>
      <c r="C221" s="91" t="s">
        <v>136</v>
      </c>
      <c r="D221" s="67" t="s">
        <v>460</v>
      </c>
      <c r="E221" s="69" t="s">
        <v>464</v>
      </c>
      <c r="F221" s="70">
        <v>3017.3100000000004</v>
      </c>
      <c r="G221" s="70">
        <v>209.87000000000003</v>
      </c>
      <c r="H221" s="70">
        <v>3274.37</v>
      </c>
      <c r="I221" s="70">
        <v>264.87</v>
      </c>
      <c r="J221" s="71">
        <f t="shared" ref="J221:AA221" si="624">+J218+J219+J220</f>
        <v>3203.4700000000003</v>
      </c>
      <c r="K221" s="71">
        <f t="shared" si="624"/>
        <v>85</v>
      </c>
      <c r="L221" s="71">
        <f t="shared" si="624"/>
        <v>0</v>
      </c>
      <c r="M221" s="71">
        <f t="shared" si="624"/>
        <v>3288.4700000000003</v>
      </c>
      <c r="N221" s="71">
        <f t="shared" si="624"/>
        <v>0</v>
      </c>
      <c r="O221" s="71">
        <f t="shared" si="624"/>
        <v>0</v>
      </c>
      <c r="P221" s="71">
        <f t="shared" si="624"/>
        <v>0</v>
      </c>
      <c r="Q221" s="71">
        <f t="shared" si="624"/>
        <v>0</v>
      </c>
      <c r="R221" s="71">
        <f t="shared" si="624"/>
        <v>3288.4700000000003</v>
      </c>
      <c r="S221" s="71">
        <f t="shared" si="624"/>
        <v>350</v>
      </c>
      <c r="T221" s="71">
        <f t="shared" si="624"/>
        <v>0</v>
      </c>
      <c r="U221" s="71">
        <f t="shared" si="624"/>
        <v>0</v>
      </c>
      <c r="V221" s="71">
        <f t="shared" si="624"/>
        <v>3465.26</v>
      </c>
      <c r="W221" s="71">
        <f t="shared" si="624"/>
        <v>273.52999999999997</v>
      </c>
      <c r="X221" s="71">
        <f t="shared" si="624"/>
        <v>-176.78999999999996</v>
      </c>
      <c r="Y221" s="71">
        <f t="shared" si="624"/>
        <v>76.470000000000027</v>
      </c>
      <c r="Z221" s="71">
        <f t="shared" si="624"/>
        <v>3236.7200000000003</v>
      </c>
      <c r="AA221" s="71">
        <f t="shared" si="624"/>
        <v>0</v>
      </c>
      <c r="AB221" s="70">
        <f t="shared" si="547"/>
        <v>3236.7200000000003</v>
      </c>
      <c r="AC221" s="43">
        <f t="shared" si="548"/>
        <v>0</v>
      </c>
      <c r="AD221" s="70">
        <f t="shared" ref="AD221:CP221" si="625">+AD218+AD219+AD220</f>
        <v>3236.7200000000003</v>
      </c>
      <c r="AE221" s="70">
        <f t="shared" si="625"/>
        <v>273.52999999999997</v>
      </c>
      <c r="AF221" s="70">
        <f t="shared" si="625"/>
        <v>315.77</v>
      </c>
      <c r="AG221" s="70">
        <f t="shared" si="625"/>
        <v>809</v>
      </c>
      <c r="AH221" s="70">
        <f t="shared" si="625"/>
        <v>68</v>
      </c>
      <c r="AI221" s="96">
        <f t="shared" si="625"/>
        <v>269</v>
      </c>
      <c r="AJ221" s="70">
        <f t="shared" si="625"/>
        <v>23</v>
      </c>
      <c r="AK221" s="70">
        <f t="shared" si="625"/>
        <v>0</v>
      </c>
      <c r="AL221" s="70">
        <f t="shared" si="625"/>
        <v>125</v>
      </c>
      <c r="AM221" s="70">
        <f t="shared" si="625"/>
        <v>809.18000000000006</v>
      </c>
      <c r="AN221" s="70">
        <f t="shared" si="625"/>
        <v>49.999999999999993</v>
      </c>
      <c r="AO221" s="70">
        <f t="shared" si="625"/>
        <v>0</v>
      </c>
      <c r="AP221" s="70">
        <f t="shared" si="625"/>
        <v>0</v>
      </c>
      <c r="AQ221" s="70">
        <f t="shared" si="625"/>
        <v>1618.18</v>
      </c>
      <c r="AR221" s="70">
        <f t="shared" si="625"/>
        <v>243</v>
      </c>
      <c r="AS221" s="70">
        <f t="shared" si="625"/>
        <v>0</v>
      </c>
      <c r="AT221" s="70">
        <f t="shared" si="625"/>
        <v>62</v>
      </c>
      <c r="AU221" s="70">
        <f t="shared" si="625"/>
        <v>809.18000000000006</v>
      </c>
      <c r="AV221" s="70">
        <f t="shared" si="625"/>
        <v>68.38</v>
      </c>
      <c r="AW221" s="70">
        <f t="shared" si="625"/>
        <v>0</v>
      </c>
      <c r="AX221" s="70">
        <f t="shared" si="625"/>
        <v>13.62</v>
      </c>
      <c r="AY221" s="70">
        <f t="shared" si="625"/>
        <v>2696.36</v>
      </c>
      <c r="AZ221" s="70">
        <f t="shared" si="625"/>
        <v>410</v>
      </c>
      <c r="BA221" s="70">
        <f t="shared" si="625"/>
        <v>3106.36</v>
      </c>
      <c r="BB221" s="70">
        <f t="shared" si="625"/>
        <v>2634.4399999999996</v>
      </c>
      <c r="BC221" s="70">
        <f t="shared" si="625"/>
        <v>407.16</v>
      </c>
      <c r="BD221" s="70">
        <f t="shared" si="625"/>
        <v>61.920000000000073</v>
      </c>
      <c r="BE221" s="70">
        <f t="shared" si="625"/>
        <v>2.839999999999975</v>
      </c>
      <c r="BF221" s="70">
        <f t="shared" si="625"/>
        <v>526.89</v>
      </c>
      <c r="BG221" s="96">
        <f t="shared" si="625"/>
        <v>81.430000000000007</v>
      </c>
      <c r="BH221" s="96">
        <f t="shared" si="625"/>
        <v>232.48999999999998</v>
      </c>
      <c r="BI221" s="96">
        <f t="shared" si="625"/>
        <v>35</v>
      </c>
      <c r="BJ221" s="96">
        <f t="shared" si="625"/>
        <v>0</v>
      </c>
      <c r="BK221" s="96">
        <f t="shared" si="625"/>
        <v>0</v>
      </c>
      <c r="BL221" s="96">
        <f t="shared" si="625"/>
        <v>2928.85</v>
      </c>
      <c r="BM221" s="96">
        <f t="shared" si="625"/>
        <v>445</v>
      </c>
      <c r="BN221" s="96">
        <f t="shared" si="625"/>
        <v>3373.85</v>
      </c>
      <c r="BO221" s="96">
        <f t="shared" si="625"/>
        <v>2742.47</v>
      </c>
      <c r="BP221" s="96">
        <f t="shared" si="625"/>
        <v>420.75</v>
      </c>
      <c r="BQ221" s="70">
        <f t="shared" si="625"/>
        <v>186.38000000000011</v>
      </c>
      <c r="BR221" s="70">
        <f t="shared" si="625"/>
        <v>24.25</v>
      </c>
      <c r="BS221" s="70">
        <f t="shared" si="625"/>
        <v>249.32</v>
      </c>
      <c r="BT221" s="70">
        <f t="shared" si="625"/>
        <v>38.25</v>
      </c>
      <c r="BU221" s="70">
        <f t="shared" si="625"/>
        <v>62.940000000000005</v>
      </c>
      <c r="BV221" s="70">
        <f t="shared" si="625"/>
        <v>14</v>
      </c>
      <c r="BW221" s="70">
        <f t="shared" si="625"/>
        <v>421.07</v>
      </c>
      <c r="BX221" s="70">
        <f t="shared" si="625"/>
        <v>0</v>
      </c>
      <c r="BY221" s="70">
        <f t="shared" si="625"/>
        <v>0</v>
      </c>
      <c r="BZ221" s="70">
        <f t="shared" si="625"/>
        <v>0</v>
      </c>
      <c r="CA221" s="70">
        <f t="shared" si="625"/>
        <v>3412.8599999999997</v>
      </c>
      <c r="CB221" s="70">
        <f t="shared" si="625"/>
        <v>459</v>
      </c>
      <c r="CC221" s="70">
        <f t="shared" si="625"/>
        <v>3754.14</v>
      </c>
      <c r="CD221" s="70">
        <f t="shared" si="625"/>
        <v>527.85</v>
      </c>
      <c r="CE221" s="70">
        <f t="shared" si="625"/>
        <v>312</v>
      </c>
      <c r="CF221" s="70">
        <f t="shared" si="625"/>
        <v>44</v>
      </c>
      <c r="CG221" s="70">
        <f t="shared" si="625"/>
        <v>853.21</v>
      </c>
      <c r="CH221" s="96">
        <f t="shared" si="625"/>
        <v>114.75</v>
      </c>
      <c r="CI221" s="70">
        <f t="shared" si="625"/>
        <v>0</v>
      </c>
      <c r="CJ221" s="70">
        <f t="shared" si="625"/>
        <v>0</v>
      </c>
      <c r="CK221" s="70">
        <f t="shared" si="625"/>
        <v>943</v>
      </c>
      <c r="CL221" s="70">
        <f t="shared" si="625"/>
        <v>12</v>
      </c>
      <c r="CM221" s="70">
        <f t="shared" si="625"/>
        <v>0</v>
      </c>
      <c r="CN221" s="70">
        <f t="shared" si="625"/>
        <v>0</v>
      </c>
      <c r="CO221" s="70">
        <f t="shared" si="625"/>
        <v>3551.13</v>
      </c>
      <c r="CP221" s="70">
        <f t="shared" si="625"/>
        <v>250</v>
      </c>
      <c r="CQ221" s="70">
        <f t="shared" ref="CQ221:FB221" si="626">+CQ218+CQ219+CQ220</f>
        <v>3772</v>
      </c>
      <c r="CR221" s="70">
        <f t="shared" si="626"/>
        <v>48</v>
      </c>
      <c r="CS221" s="70">
        <f t="shared" si="626"/>
        <v>3443.13</v>
      </c>
      <c r="CT221" s="70">
        <f t="shared" si="626"/>
        <v>320</v>
      </c>
      <c r="CU221" s="70">
        <f t="shared" si="626"/>
        <v>4410</v>
      </c>
      <c r="CV221" s="70">
        <f t="shared" si="626"/>
        <v>320</v>
      </c>
      <c r="CW221" s="70">
        <f t="shared" si="626"/>
        <v>1102.5</v>
      </c>
      <c r="CX221" s="70">
        <f t="shared" si="626"/>
        <v>40</v>
      </c>
      <c r="CY221" s="70">
        <f t="shared" si="626"/>
        <v>0</v>
      </c>
      <c r="CZ221" s="70">
        <f t="shared" si="626"/>
        <v>3</v>
      </c>
      <c r="DA221" s="70">
        <f t="shared" si="626"/>
        <v>2357.5</v>
      </c>
      <c r="DB221" s="70">
        <f t="shared" si="626"/>
        <v>99</v>
      </c>
      <c r="DC221" s="70">
        <f t="shared" si="626"/>
        <v>2274.37</v>
      </c>
      <c r="DD221" s="70">
        <f t="shared" si="626"/>
        <v>98.61</v>
      </c>
      <c r="DE221" s="70">
        <f t="shared" si="626"/>
        <v>83.13</v>
      </c>
      <c r="DF221" s="70">
        <f t="shared" si="626"/>
        <v>0.39000000000000057</v>
      </c>
      <c r="DG221" s="70">
        <f t="shared" si="626"/>
        <v>1035</v>
      </c>
      <c r="DH221" s="70">
        <f t="shared" si="626"/>
        <v>80</v>
      </c>
      <c r="DI221" s="70">
        <f t="shared" si="626"/>
        <v>951.87</v>
      </c>
      <c r="DJ221" s="70">
        <f t="shared" si="626"/>
        <v>79.61</v>
      </c>
      <c r="DK221" s="70">
        <f t="shared" si="626"/>
        <v>70</v>
      </c>
      <c r="DL221" s="70">
        <f t="shared" si="626"/>
        <v>0</v>
      </c>
      <c r="DM221" s="70">
        <f t="shared" si="626"/>
        <v>3379.37</v>
      </c>
      <c r="DN221" s="70">
        <f t="shared" si="626"/>
        <v>178.61</v>
      </c>
      <c r="DO221" s="70">
        <f t="shared" si="626"/>
        <v>3373.4</v>
      </c>
      <c r="DP221" s="70">
        <f t="shared" si="626"/>
        <v>143.83000000000001</v>
      </c>
      <c r="DQ221" s="70">
        <f t="shared" si="626"/>
        <v>5.97</v>
      </c>
      <c r="DR221" s="70">
        <f t="shared" si="626"/>
        <v>34.78</v>
      </c>
      <c r="DS221" s="70">
        <f t="shared" si="626"/>
        <v>337.34000000000003</v>
      </c>
      <c r="DT221" s="70">
        <f t="shared" si="626"/>
        <v>14.383000000000001</v>
      </c>
      <c r="DU221" s="70">
        <f t="shared" si="626"/>
        <v>331.37</v>
      </c>
      <c r="DV221" s="70">
        <f t="shared" si="626"/>
        <v>-20.396999999999998</v>
      </c>
      <c r="DW221" s="70">
        <f t="shared" si="626"/>
        <v>0</v>
      </c>
      <c r="DX221" s="70">
        <f t="shared" si="626"/>
        <v>0</v>
      </c>
      <c r="DY221" s="70">
        <f t="shared" si="626"/>
        <v>348</v>
      </c>
      <c r="DZ221" s="70">
        <f t="shared" si="626"/>
        <v>10</v>
      </c>
      <c r="EA221" s="70">
        <f t="shared" si="626"/>
        <v>0</v>
      </c>
      <c r="EB221" s="96">
        <f t="shared" si="626"/>
        <v>0</v>
      </c>
      <c r="EC221" s="70">
        <f t="shared" si="626"/>
        <v>3727.37</v>
      </c>
      <c r="ED221" s="70">
        <f t="shared" si="626"/>
        <v>188.61</v>
      </c>
      <c r="EE221" s="70">
        <f t="shared" si="626"/>
        <v>3490.76</v>
      </c>
      <c r="EF221" s="70">
        <f t="shared" si="626"/>
        <v>158.19</v>
      </c>
      <c r="EG221" s="70" t="e">
        <f t="shared" si="626"/>
        <v>#DIV/0!</v>
      </c>
      <c r="EH221" s="70" t="e">
        <f t="shared" si="626"/>
        <v>#DIV/0!</v>
      </c>
      <c r="EI221" s="70">
        <f t="shared" si="626"/>
        <v>236.61</v>
      </c>
      <c r="EJ221" s="70">
        <f t="shared" si="626"/>
        <v>30.42</v>
      </c>
      <c r="EK221" s="70">
        <f t="shared" si="626"/>
        <v>317.34000000000003</v>
      </c>
      <c r="EL221" s="70">
        <f t="shared" si="626"/>
        <v>14.38</v>
      </c>
      <c r="EM221" s="70">
        <f t="shared" si="626"/>
        <v>80.73</v>
      </c>
      <c r="EN221" s="70">
        <f t="shared" si="626"/>
        <v>-16.04</v>
      </c>
      <c r="EO221" s="70">
        <f t="shared" si="626"/>
        <v>110</v>
      </c>
      <c r="EP221" s="70">
        <f t="shared" si="626"/>
        <v>76.63</v>
      </c>
      <c r="EQ221" s="66">
        <f t="shared" si="626"/>
        <v>0</v>
      </c>
      <c r="ER221" s="46">
        <f t="shared" si="626"/>
        <v>0</v>
      </c>
      <c r="ES221" s="46">
        <f t="shared" si="626"/>
        <v>237</v>
      </c>
      <c r="ET221" s="46">
        <f t="shared" si="626"/>
        <v>84.8</v>
      </c>
      <c r="EU221" s="5">
        <f t="shared" si="442"/>
        <v>302.63000000000011</v>
      </c>
      <c r="EV221" s="5">
        <f t="shared" si="442"/>
        <v>64.759999999999991</v>
      </c>
      <c r="EW221" s="46">
        <f t="shared" si="626"/>
        <v>4140</v>
      </c>
      <c r="EX221" s="46">
        <f t="shared" si="626"/>
        <v>330</v>
      </c>
      <c r="EY221" s="46">
        <f t="shared" si="626"/>
        <v>4601</v>
      </c>
      <c r="EZ221" s="46">
        <f t="shared" si="626"/>
        <v>275</v>
      </c>
      <c r="FA221" s="46">
        <f t="shared" si="626"/>
        <v>0</v>
      </c>
      <c r="FB221" s="46">
        <f t="shared" si="626"/>
        <v>0</v>
      </c>
      <c r="FC221" s="46">
        <f t="shared" ref="FC221:FE221" si="627">+FC218+FC219+FC220</f>
        <v>0</v>
      </c>
      <c r="FD221" s="46">
        <f t="shared" si="627"/>
        <v>0</v>
      </c>
      <c r="FE221" s="46">
        <f t="shared" si="627"/>
        <v>0</v>
      </c>
    </row>
    <row r="222" spans="1:162" ht="18.75" x14ac:dyDescent="0.25">
      <c r="A222" s="68">
        <v>29</v>
      </c>
      <c r="B222" s="68" t="s">
        <v>465</v>
      </c>
      <c r="C222" s="91" t="s">
        <v>102</v>
      </c>
      <c r="D222" s="67" t="s">
        <v>466</v>
      </c>
      <c r="E222" s="69" t="s">
        <v>467</v>
      </c>
      <c r="F222" s="40">
        <v>620.8599999999999</v>
      </c>
      <c r="G222" s="40">
        <v>13.07</v>
      </c>
      <c r="H222" s="40">
        <v>620.8599999999999</v>
      </c>
      <c r="I222" s="70">
        <v>13.07</v>
      </c>
      <c r="J222" s="71">
        <v>690</v>
      </c>
      <c r="K222" s="71">
        <v>0</v>
      </c>
      <c r="L222" s="71">
        <v>0</v>
      </c>
      <c r="M222" s="71">
        <f t="shared" ref="M222" si="628">+L222+K222+J222</f>
        <v>690</v>
      </c>
      <c r="N222" s="71">
        <v>0</v>
      </c>
      <c r="O222" s="71">
        <v>0</v>
      </c>
      <c r="P222" s="71">
        <v>0</v>
      </c>
      <c r="Q222" s="71">
        <f t="shared" ref="Q222" si="629">+P222+O222+N222</f>
        <v>0</v>
      </c>
      <c r="R222" s="71">
        <f t="shared" si="543"/>
        <v>690</v>
      </c>
      <c r="S222" s="71">
        <v>0</v>
      </c>
      <c r="T222" s="92"/>
      <c r="U222" s="92"/>
      <c r="V222" s="71">
        <f t="shared" ref="V222" si="630">ROUND(H222*1.0583,2)</f>
        <v>657.06</v>
      </c>
      <c r="W222" s="71">
        <f t="shared" ref="W222" si="631">ROUND(I222*1.0327,2)</f>
        <v>13.5</v>
      </c>
      <c r="X222" s="71">
        <f t="shared" si="529"/>
        <v>32.940000000000055</v>
      </c>
      <c r="Y222" s="71">
        <f t="shared" si="529"/>
        <v>-13.5</v>
      </c>
      <c r="Z222" s="71">
        <v>657.06</v>
      </c>
      <c r="AA222" s="71"/>
      <c r="AB222" s="71">
        <f t="shared" si="547"/>
        <v>657.06</v>
      </c>
      <c r="AC222" s="43">
        <f t="shared" si="548"/>
        <v>0</v>
      </c>
      <c r="AD222" s="71">
        <f t="shared" ref="AD222:AE222" si="632">IF(X222&gt;0,V222,R222)</f>
        <v>657.06</v>
      </c>
      <c r="AE222" s="71">
        <f t="shared" si="632"/>
        <v>0</v>
      </c>
      <c r="AF222" s="71">
        <f t="shared" si="570"/>
        <v>0</v>
      </c>
      <c r="AG222" s="43">
        <f t="shared" si="530"/>
        <v>164</v>
      </c>
      <c r="AH222" s="43">
        <f t="shared" si="530"/>
        <v>0</v>
      </c>
      <c r="AI222" s="93">
        <f t="shared" si="531"/>
        <v>55</v>
      </c>
      <c r="AJ222" s="43">
        <f t="shared" si="531"/>
        <v>0</v>
      </c>
      <c r="AK222" s="43"/>
      <c r="AL222" s="43"/>
      <c r="AM222" s="43">
        <f t="shared" si="571"/>
        <v>164.27</v>
      </c>
      <c r="AN222" s="43">
        <f t="shared" si="572"/>
        <v>0</v>
      </c>
      <c r="AO222" s="43"/>
      <c r="AP222" s="43"/>
      <c r="AQ222" s="43">
        <f t="shared" si="532"/>
        <v>328.27</v>
      </c>
      <c r="AR222" s="43">
        <f t="shared" si="532"/>
        <v>0</v>
      </c>
      <c r="AS222" s="43"/>
      <c r="AT222" s="43"/>
      <c r="AU222" s="43">
        <f t="shared" si="623"/>
        <v>164.27</v>
      </c>
      <c r="AV222" s="43">
        <f t="shared" si="623"/>
        <v>0</v>
      </c>
      <c r="AW222" s="43">
        <v>57</v>
      </c>
      <c r="AX222" s="43"/>
      <c r="AY222" s="43">
        <f t="shared" si="520"/>
        <v>604.54</v>
      </c>
      <c r="AZ222" s="43">
        <f t="shared" si="520"/>
        <v>0</v>
      </c>
      <c r="BA222" s="43">
        <f t="shared" si="521"/>
        <v>604.54</v>
      </c>
      <c r="BB222" s="60">
        <v>592.9</v>
      </c>
      <c r="BC222" s="60"/>
      <c r="BD222" s="60">
        <f t="shared" si="522"/>
        <v>11.639999999999986</v>
      </c>
      <c r="BE222" s="60">
        <f t="shared" si="522"/>
        <v>0</v>
      </c>
      <c r="BF222" s="60">
        <f t="shared" si="523"/>
        <v>118.58</v>
      </c>
      <c r="BG222" s="60">
        <f t="shared" si="523"/>
        <v>0</v>
      </c>
      <c r="BH222" s="43">
        <v>46.91</v>
      </c>
      <c r="BI222" s="43">
        <v>0</v>
      </c>
      <c r="BJ222" s="43"/>
      <c r="BK222" s="43"/>
      <c r="BL222" s="43">
        <f t="shared" si="545"/>
        <v>651.44999999999993</v>
      </c>
      <c r="BM222" s="43">
        <f t="shared" si="545"/>
        <v>0</v>
      </c>
      <c r="BN222" s="43">
        <f t="shared" si="573"/>
        <v>651.44999999999993</v>
      </c>
      <c r="BO222" s="43">
        <v>651.54999999999995</v>
      </c>
      <c r="BP222" s="93"/>
      <c r="BQ222" s="43">
        <f t="shared" si="549"/>
        <v>-0.10000000000002274</v>
      </c>
      <c r="BR222" s="43">
        <f t="shared" si="549"/>
        <v>0</v>
      </c>
      <c r="BS222" s="43">
        <f t="shared" si="550"/>
        <v>59.23</v>
      </c>
      <c r="BT222" s="43">
        <f t="shared" si="550"/>
        <v>0</v>
      </c>
      <c r="BU222" s="43">
        <f t="shared" si="583"/>
        <v>59.33000000000002</v>
      </c>
      <c r="BV222" s="43">
        <v>2.52</v>
      </c>
      <c r="BW222" s="43">
        <v>14.6</v>
      </c>
      <c r="BX222" s="43"/>
      <c r="BY222" s="43"/>
      <c r="BZ222" s="43"/>
      <c r="CA222" s="43">
        <v>725.38</v>
      </c>
      <c r="CB222" s="43">
        <v>2.52</v>
      </c>
      <c r="CC222" s="92">
        <v>797.92</v>
      </c>
      <c r="CD222" s="92">
        <v>2.9</v>
      </c>
      <c r="CE222" s="92">
        <v>66</v>
      </c>
      <c r="CF222" s="92">
        <v>0</v>
      </c>
      <c r="CG222" s="92">
        <f t="shared" si="551"/>
        <v>181.35</v>
      </c>
      <c r="CH222" s="92">
        <f t="shared" si="551"/>
        <v>0.63</v>
      </c>
      <c r="CI222" s="43"/>
      <c r="CJ222" s="43"/>
      <c r="CK222" s="43">
        <v>210</v>
      </c>
      <c r="CL222" s="43">
        <v>0</v>
      </c>
      <c r="CM222" s="43"/>
      <c r="CN222" s="43"/>
      <c r="CO222" s="43">
        <v>720</v>
      </c>
      <c r="CP222" s="43">
        <v>0</v>
      </c>
      <c r="CQ222" s="43">
        <f t="shared" si="552"/>
        <v>840</v>
      </c>
      <c r="CR222" s="43">
        <f t="shared" si="552"/>
        <v>0</v>
      </c>
      <c r="CS222" s="43">
        <f t="shared" si="553"/>
        <v>720</v>
      </c>
      <c r="CT222" s="43">
        <f t="shared" si="553"/>
        <v>0</v>
      </c>
      <c r="CU222" s="43">
        <v>760</v>
      </c>
      <c r="CV222" s="43">
        <v>0</v>
      </c>
      <c r="CW222" s="43">
        <f t="shared" si="554"/>
        <v>190</v>
      </c>
      <c r="CX222" s="43">
        <f t="shared" si="554"/>
        <v>0</v>
      </c>
      <c r="CY222" s="43"/>
      <c r="CZ222" s="43"/>
      <c r="DA222" s="43">
        <f t="shared" si="555"/>
        <v>466</v>
      </c>
      <c r="DB222" s="43">
        <f t="shared" si="555"/>
        <v>0</v>
      </c>
      <c r="DC222" s="43">
        <v>439.1</v>
      </c>
      <c r="DD222" s="43">
        <v>0.08</v>
      </c>
      <c r="DE222" s="43">
        <f t="shared" si="556"/>
        <v>26.899999999999977</v>
      </c>
      <c r="DF222" s="43">
        <f t="shared" si="556"/>
        <v>-0.08</v>
      </c>
      <c r="DG222" s="43">
        <f>ROUND(0.25*(MIN(CU222,EW222)),2)</f>
        <v>190</v>
      </c>
      <c r="DH222" s="43">
        <f>ROUND(0.25*(MIN(CV222,EX222)),2)</f>
        <v>0</v>
      </c>
      <c r="DI222" s="43">
        <f>+DG222-DE222</f>
        <v>163.10000000000002</v>
      </c>
      <c r="DJ222" s="43">
        <f>+DH222-DF222-0.08</f>
        <v>0</v>
      </c>
      <c r="DK222" s="43">
        <v>66</v>
      </c>
      <c r="DL222" s="43"/>
      <c r="DM222" s="43">
        <f t="shared" si="558"/>
        <v>695.1</v>
      </c>
      <c r="DN222" s="43">
        <f t="shared" si="558"/>
        <v>0</v>
      </c>
      <c r="DO222" s="94">
        <v>657.19</v>
      </c>
      <c r="DP222" s="95">
        <v>0.08</v>
      </c>
      <c r="DQ222" s="60">
        <f t="shared" si="559"/>
        <v>37.909999999999997</v>
      </c>
      <c r="DR222" s="60">
        <f t="shared" si="559"/>
        <v>-0.08</v>
      </c>
      <c r="DS222" s="60">
        <f t="shared" si="560"/>
        <v>65.719000000000008</v>
      </c>
      <c r="DT222" s="60">
        <f t="shared" si="560"/>
        <v>8.0000000000000002E-3</v>
      </c>
      <c r="DU222" s="60">
        <f t="shared" si="561"/>
        <v>27.809000000000012</v>
      </c>
      <c r="DV222" s="60">
        <f t="shared" si="561"/>
        <v>8.7999999999999995E-2</v>
      </c>
      <c r="DW222" s="60"/>
      <c r="DX222" s="60"/>
      <c r="DY222" s="60">
        <f t="shared" si="569"/>
        <v>27.81</v>
      </c>
      <c r="DZ222" s="60">
        <v>0</v>
      </c>
      <c r="EA222" s="60"/>
      <c r="EB222" s="60"/>
      <c r="EC222" s="43">
        <f t="shared" si="562"/>
        <v>722.91</v>
      </c>
      <c r="ED222" s="43">
        <f t="shared" si="562"/>
        <v>0</v>
      </c>
      <c r="EE222" s="43">
        <v>729.18</v>
      </c>
      <c r="EF222" s="43">
        <v>7.9600000000000004E-2</v>
      </c>
      <c r="EG222" s="43">
        <f t="shared" si="607"/>
        <v>100.87</v>
      </c>
      <c r="EH222" s="43" t="e">
        <f t="shared" si="607"/>
        <v>#DIV/0!</v>
      </c>
      <c r="EI222" s="43">
        <f t="shared" si="563"/>
        <v>-6.27</v>
      </c>
      <c r="EJ222" s="43">
        <f t="shared" si="563"/>
        <v>-0.08</v>
      </c>
      <c r="EK222" s="43">
        <f t="shared" si="564"/>
        <v>66.290000000000006</v>
      </c>
      <c r="EL222" s="43">
        <f t="shared" si="564"/>
        <v>0.01</v>
      </c>
      <c r="EM222" s="43">
        <f t="shared" si="565"/>
        <v>72.56</v>
      </c>
      <c r="EN222" s="43">
        <f t="shared" si="565"/>
        <v>0.09</v>
      </c>
      <c r="EO222" s="43">
        <v>70</v>
      </c>
      <c r="EP222" s="43">
        <v>0</v>
      </c>
      <c r="EQ222" s="5"/>
      <c r="ER222" s="5"/>
      <c r="ES222" s="5"/>
      <c r="ET222" s="5"/>
      <c r="EU222" s="5">
        <f t="shared" si="442"/>
        <v>-31.259999999999991</v>
      </c>
      <c r="EV222" s="5">
        <f t="shared" si="442"/>
        <v>0</v>
      </c>
      <c r="EW222" s="5">
        <v>761.65</v>
      </c>
      <c r="EY222" s="5">
        <v>785</v>
      </c>
    </row>
    <row r="223" spans="1:162" ht="37.5" x14ac:dyDescent="0.25">
      <c r="A223" s="68"/>
      <c r="B223" s="68"/>
      <c r="C223" s="91"/>
      <c r="D223" s="67" t="s">
        <v>468</v>
      </c>
      <c r="E223" s="69" t="s">
        <v>469</v>
      </c>
      <c r="F223" s="40">
        <v>42116.42</v>
      </c>
      <c r="G223" s="40">
        <v>12984.279999999999</v>
      </c>
      <c r="H223" s="40">
        <v>42351.56</v>
      </c>
      <c r="I223" s="40">
        <v>13186.21</v>
      </c>
      <c r="J223" s="41">
        <f t="shared" ref="J223:AA223" si="633">+J222+J221+J217+J214+J213+J205+J206+J209+J196+J197+J198+J195+J192+J191+J187</f>
        <v>48686.55</v>
      </c>
      <c r="K223" s="41">
        <f t="shared" si="633"/>
        <v>1388.01</v>
      </c>
      <c r="L223" s="41">
        <f t="shared" si="633"/>
        <v>0.1</v>
      </c>
      <c r="M223" s="41">
        <f t="shared" si="633"/>
        <v>50074.66</v>
      </c>
      <c r="N223" s="41">
        <f t="shared" si="633"/>
        <v>0</v>
      </c>
      <c r="O223" s="41">
        <f t="shared" si="633"/>
        <v>0</v>
      </c>
      <c r="P223" s="41">
        <f t="shared" si="633"/>
        <v>0</v>
      </c>
      <c r="Q223" s="41">
        <f t="shared" si="633"/>
        <v>0</v>
      </c>
      <c r="R223" s="41">
        <f t="shared" si="633"/>
        <v>50074.66</v>
      </c>
      <c r="S223" s="41">
        <f t="shared" si="633"/>
        <v>15685</v>
      </c>
      <c r="T223" s="41">
        <f t="shared" si="633"/>
        <v>0</v>
      </c>
      <c r="U223" s="41">
        <f t="shared" si="633"/>
        <v>0</v>
      </c>
      <c r="V223" s="41">
        <f t="shared" si="633"/>
        <v>44820.650000000009</v>
      </c>
      <c r="W223" s="41">
        <f t="shared" si="633"/>
        <v>13617.42</v>
      </c>
      <c r="X223" s="41">
        <f t="shared" si="633"/>
        <v>5254.01</v>
      </c>
      <c r="Y223" s="41">
        <f t="shared" si="633"/>
        <v>2067.5800000000004</v>
      </c>
      <c r="Z223" s="41">
        <f t="shared" si="633"/>
        <v>45314.600000000006</v>
      </c>
      <c r="AA223" s="41">
        <f t="shared" si="633"/>
        <v>0</v>
      </c>
      <c r="AB223" s="40">
        <f t="shared" si="547"/>
        <v>45314.600000000006</v>
      </c>
      <c r="AC223" s="43">
        <f t="shared" si="548"/>
        <v>0</v>
      </c>
      <c r="AD223" s="40">
        <f t="shared" ref="AD223:CP223" si="634">+AD222+AD221+AD217+AD214+AD213+AD205+AD206+AD209+AD196+AD197+AD198+AD195+AD192+AD191+AD187</f>
        <v>45314.600000000006</v>
      </c>
      <c r="AE223" s="40">
        <f t="shared" si="634"/>
        <v>13855.71</v>
      </c>
      <c r="AF223" s="40">
        <f t="shared" si="634"/>
        <v>14151</v>
      </c>
      <c r="AG223" s="40">
        <f t="shared" si="634"/>
        <v>11329</v>
      </c>
      <c r="AH223" s="40">
        <f t="shared" si="634"/>
        <v>3290</v>
      </c>
      <c r="AI223" s="40">
        <f t="shared" si="634"/>
        <v>3775</v>
      </c>
      <c r="AJ223" s="40">
        <f t="shared" si="634"/>
        <v>1098</v>
      </c>
      <c r="AK223" s="40">
        <f t="shared" si="634"/>
        <v>39.85</v>
      </c>
      <c r="AL223" s="40">
        <f t="shared" si="634"/>
        <v>654.07999999999993</v>
      </c>
      <c r="AM223" s="40">
        <f t="shared" si="634"/>
        <v>11328.68</v>
      </c>
      <c r="AN223" s="40">
        <f t="shared" si="634"/>
        <v>3281.29</v>
      </c>
      <c r="AO223" s="40">
        <f t="shared" si="634"/>
        <v>0</v>
      </c>
      <c r="AP223" s="40">
        <f t="shared" si="634"/>
        <v>0</v>
      </c>
      <c r="AQ223" s="40">
        <f t="shared" si="634"/>
        <v>22697.530000000002</v>
      </c>
      <c r="AR223" s="40">
        <f t="shared" si="634"/>
        <v>7225.3700000000008</v>
      </c>
      <c r="AS223" s="40">
        <f t="shared" si="634"/>
        <v>0</v>
      </c>
      <c r="AT223" s="40">
        <f t="shared" si="634"/>
        <v>217</v>
      </c>
      <c r="AU223" s="40">
        <f t="shared" si="634"/>
        <v>11328.68</v>
      </c>
      <c r="AV223" s="40">
        <f t="shared" si="634"/>
        <v>3496.15</v>
      </c>
      <c r="AW223" s="40">
        <f t="shared" si="634"/>
        <v>57</v>
      </c>
      <c r="AX223" s="40">
        <f t="shared" si="634"/>
        <v>669.32</v>
      </c>
      <c r="AY223" s="40">
        <f t="shared" si="634"/>
        <v>37858.21</v>
      </c>
      <c r="AZ223" s="40">
        <f t="shared" si="634"/>
        <v>12705.84</v>
      </c>
      <c r="BA223" s="40">
        <f t="shared" si="634"/>
        <v>50564.049999999996</v>
      </c>
      <c r="BB223" s="40">
        <f t="shared" si="634"/>
        <v>35819.55999999999</v>
      </c>
      <c r="BC223" s="40">
        <f t="shared" si="634"/>
        <v>11804.640000000001</v>
      </c>
      <c r="BD223" s="40">
        <f t="shared" si="634"/>
        <v>2038.6500000000005</v>
      </c>
      <c r="BE223" s="40">
        <f t="shared" si="634"/>
        <v>901.2</v>
      </c>
      <c r="BF223" s="40">
        <f t="shared" si="634"/>
        <v>7163.92</v>
      </c>
      <c r="BG223" s="40">
        <f t="shared" si="634"/>
        <v>2360.9299999999998</v>
      </c>
      <c r="BH223" s="40">
        <f t="shared" si="634"/>
        <v>2615.6600000000003</v>
      </c>
      <c r="BI223" s="40">
        <f t="shared" si="634"/>
        <v>967.74</v>
      </c>
      <c r="BJ223" s="40">
        <f t="shared" si="634"/>
        <v>0</v>
      </c>
      <c r="BK223" s="40">
        <f t="shared" si="634"/>
        <v>322.37</v>
      </c>
      <c r="BL223" s="40">
        <f t="shared" si="634"/>
        <v>40473.869999999995</v>
      </c>
      <c r="BM223" s="40">
        <f t="shared" si="634"/>
        <v>13995.95</v>
      </c>
      <c r="BN223" s="40">
        <f t="shared" si="634"/>
        <v>54469.820000000007</v>
      </c>
      <c r="BO223" s="40">
        <f t="shared" si="634"/>
        <v>38823.35</v>
      </c>
      <c r="BP223" s="102">
        <f t="shared" si="634"/>
        <v>13173.269999999999</v>
      </c>
      <c r="BQ223" s="40">
        <f t="shared" si="634"/>
        <v>1650.5200000000007</v>
      </c>
      <c r="BR223" s="40">
        <f t="shared" si="634"/>
        <v>822.6800000000004</v>
      </c>
      <c r="BS223" s="40">
        <f t="shared" si="634"/>
        <v>3529.4000000000005</v>
      </c>
      <c r="BT223" s="40">
        <f t="shared" si="634"/>
        <v>1197.57</v>
      </c>
      <c r="BU223" s="40">
        <f t="shared" si="634"/>
        <v>2326.1199999999994</v>
      </c>
      <c r="BV223" s="40">
        <f t="shared" si="634"/>
        <v>946.88</v>
      </c>
      <c r="BW223" s="40">
        <f t="shared" si="634"/>
        <v>1465.86</v>
      </c>
      <c r="BX223" s="40">
        <f t="shared" si="634"/>
        <v>310.95999999999998</v>
      </c>
      <c r="BY223" s="40">
        <f t="shared" si="634"/>
        <v>367.64</v>
      </c>
      <c r="BZ223" s="40">
        <f t="shared" si="634"/>
        <v>0</v>
      </c>
      <c r="CA223" s="40">
        <f t="shared" si="634"/>
        <v>44281.75</v>
      </c>
      <c r="CB223" s="40">
        <f t="shared" si="634"/>
        <v>14886.150000000001</v>
      </c>
      <c r="CC223" s="40">
        <f t="shared" si="634"/>
        <v>48692.43</v>
      </c>
      <c r="CD223" s="40">
        <f t="shared" si="634"/>
        <v>17119.079999999998</v>
      </c>
      <c r="CE223" s="40">
        <f t="shared" si="634"/>
        <v>4055</v>
      </c>
      <c r="CF223" s="40">
        <f t="shared" si="634"/>
        <v>1427</v>
      </c>
      <c r="CG223" s="40">
        <f t="shared" si="634"/>
        <v>11070.45</v>
      </c>
      <c r="CH223" s="102">
        <f t="shared" si="634"/>
        <v>3721.5600000000004</v>
      </c>
      <c r="CI223" s="40">
        <f t="shared" si="634"/>
        <v>0</v>
      </c>
      <c r="CJ223" s="40">
        <f t="shared" si="634"/>
        <v>0</v>
      </c>
      <c r="CK223" s="40">
        <f t="shared" si="634"/>
        <v>12052.41</v>
      </c>
      <c r="CL223" s="40">
        <f t="shared" si="634"/>
        <v>3302</v>
      </c>
      <c r="CM223" s="40">
        <f t="shared" si="634"/>
        <v>105</v>
      </c>
      <c r="CN223" s="40">
        <f t="shared" si="634"/>
        <v>322.95</v>
      </c>
      <c r="CO223" s="40">
        <f t="shared" si="634"/>
        <v>50758.47</v>
      </c>
      <c r="CP223" s="40">
        <f t="shared" si="634"/>
        <v>16810.79</v>
      </c>
      <c r="CQ223" s="40">
        <f t="shared" ref="CQ223:FB223" si="635">+CQ222+CQ221+CQ217+CQ214+CQ213+CQ205+CQ206+CQ209+CQ196+CQ197+CQ198+CQ195+CQ192+CQ191+CQ187</f>
        <v>48209.64</v>
      </c>
      <c r="CR223" s="40">
        <f t="shared" si="635"/>
        <v>13383</v>
      </c>
      <c r="CS223" s="40">
        <f t="shared" si="635"/>
        <v>47112.770000000004</v>
      </c>
      <c r="CT223" s="40">
        <f t="shared" si="635"/>
        <v>13843</v>
      </c>
      <c r="CU223" s="40">
        <f t="shared" si="635"/>
        <v>49159.64</v>
      </c>
      <c r="CV223" s="40">
        <f t="shared" si="635"/>
        <v>15505.42</v>
      </c>
      <c r="CW223" s="40">
        <f t="shared" si="635"/>
        <v>12324.92</v>
      </c>
      <c r="CX223" s="40">
        <f t="shared" si="635"/>
        <v>1829.82</v>
      </c>
      <c r="CY223" s="40">
        <f t="shared" si="635"/>
        <v>25</v>
      </c>
      <c r="CZ223" s="40">
        <f t="shared" si="635"/>
        <v>2305.9300000000003</v>
      </c>
      <c r="DA223" s="40">
        <f t="shared" si="635"/>
        <v>28562.33</v>
      </c>
      <c r="DB223" s="40">
        <f t="shared" si="635"/>
        <v>9187.7000000000007</v>
      </c>
      <c r="DC223" s="40">
        <f t="shared" si="635"/>
        <v>27017.029999999995</v>
      </c>
      <c r="DD223" s="40">
        <f t="shared" si="635"/>
        <v>8958.81</v>
      </c>
      <c r="DE223" s="40">
        <f t="shared" si="635"/>
        <v>1545.3</v>
      </c>
      <c r="DF223" s="40">
        <f t="shared" si="635"/>
        <v>228.89000000000024</v>
      </c>
      <c r="DG223" s="40">
        <f t="shared" si="635"/>
        <v>11935.71</v>
      </c>
      <c r="DH223" s="40">
        <f t="shared" si="635"/>
        <v>3847</v>
      </c>
      <c r="DI223" s="40">
        <f t="shared" si="635"/>
        <v>10425.41</v>
      </c>
      <c r="DJ223" s="40">
        <f t="shared" si="635"/>
        <v>3754.54</v>
      </c>
      <c r="DK223" s="40">
        <f t="shared" si="635"/>
        <v>578</v>
      </c>
      <c r="DL223" s="40">
        <f t="shared" si="635"/>
        <v>540.52</v>
      </c>
      <c r="DM223" s="40">
        <f t="shared" si="635"/>
        <v>39565.739999999991</v>
      </c>
      <c r="DN223" s="70">
        <f t="shared" si="635"/>
        <v>13482.76</v>
      </c>
      <c r="DO223" s="70">
        <f t="shared" si="635"/>
        <v>38992.39</v>
      </c>
      <c r="DP223" s="70">
        <f t="shared" si="635"/>
        <v>13122.87</v>
      </c>
      <c r="DQ223" s="70">
        <f t="shared" si="635"/>
        <v>573.35</v>
      </c>
      <c r="DR223" s="70">
        <f t="shared" si="635"/>
        <v>359.89000000000004</v>
      </c>
      <c r="DS223" s="70">
        <f t="shared" si="635"/>
        <v>3899.239</v>
      </c>
      <c r="DT223" s="70">
        <f t="shared" si="635"/>
        <v>1312.287</v>
      </c>
      <c r="DU223" s="70">
        <f t="shared" si="635"/>
        <v>3325.8889999999997</v>
      </c>
      <c r="DV223" s="70">
        <f t="shared" si="635"/>
        <v>952.39700000000016</v>
      </c>
      <c r="DW223" s="70">
        <f t="shared" si="635"/>
        <v>122</v>
      </c>
      <c r="DX223" s="70">
        <f t="shared" si="635"/>
        <v>339.48</v>
      </c>
      <c r="DY223" s="70">
        <f t="shared" si="635"/>
        <v>3659.0700000000006</v>
      </c>
      <c r="DZ223" s="70">
        <f t="shared" si="635"/>
        <v>1474.58</v>
      </c>
      <c r="EA223" s="70">
        <f t="shared" si="635"/>
        <v>117.43</v>
      </c>
      <c r="EB223" s="96">
        <f t="shared" si="635"/>
        <v>244.57</v>
      </c>
      <c r="EC223" s="70">
        <f t="shared" si="635"/>
        <v>43342.240000000005</v>
      </c>
      <c r="ED223" s="70">
        <f t="shared" si="635"/>
        <v>15201.91</v>
      </c>
      <c r="EE223" s="70">
        <f t="shared" si="635"/>
        <v>41600.93</v>
      </c>
      <c r="EF223" s="70">
        <f t="shared" si="635"/>
        <v>14655.2996</v>
      </c>
      <c r="EG223" s="70" t="e">
        <f t="shared" si="635"/>
        <v>#DIV/0!</v>
      </c>
      <c r="EH223" s="70" t="e">
        <f t="shared" si="635"/>
        <v>#DIV/0!</v>
      </c>
      <c r="EI223" s="70">
        <f t="shared" si="635"/>
        <v>1741.3100000000002</v>
      </c>
      <c r="EJ223" s="70">
        <f t="shared" si="635"/>
        <v>546.61</v>
      </c>
      <c r="EK223" s="70">
        <f t="shared" si="635"/>
        <v>3781.8900000000003</v>
      </c>
      <c r="EL223" s="70">
        <f t="shared" si="635"/>
        <v>1332.29</v>
      </c>
      <c r="EM223" s="70">
        <f t="shared" si="635"/>
        <v>2040.58</v>
      </c>
      <c r="EN223" s="70">
        <f t="shared" si="635"/>
        <v>785.68000000000006</v>
      </c>
      <c r="EO223" s="70">
        <f t="shared" si="635"/>
        <v>3799.39</v>
      </c>
      <c r="EP223" s="70">
        <f t="shared" si="635"/>
        <v>1455.07</v>
      </c>
      <c r="EQ223" s="79">
        <f t="shared" si="635"/>
        <v>0</v>
      </c>
      <c r="ER223" s="62">
        <f t="shared" si="635"/>
        <v>0</v>
      </c>
      <c r="ES223" s="62">
        <f t="shared" si="635"/>
        <v>917.84999999999991</v>
      </c>
      <c r="ET223" s="75"/>
      <c r="EU223" s="5">
        <f t="shared" si="442"/>
        <v>1426.7299999999955</v>
      </c>
      <c r="EV223" s="5">
        <f t="shared" si="442"/>
        <v>273.43000000000006</v>
      </c>
      <c r="EW223" s="64">
        <f t="shared" si="635"/>
        <v>48568.36</v>
      </c>
      <c r="EX223" s="64">
        <f t="shared" si="635"/>
        <v>16930.41</v>
      </c>
      <c r="EY223" s="64">
        <f t="shared" si="635"/>
        <v>53845.2</v>
      </c>
      <c r="EZ223" s="64">
        <f t="shared" si="635"/>
        <v>16717</v>
      </c>
      <c r="FA223" s="64">
        <f t="shared" si="635"/>
        <v>217</v>
      </c>
      <c r="FB223" s="64">
        <f t="shared" si="635"/>
        <v>78</v>
      </c>
      <c r="FC223" s="64">
        <f t="shared" ref="FC223:FF223" si="636">+FC222+FC221+FC217+FC214+FC213+FC205+FC206+FC209+FC196+FC197+FC198+FC195+FC192+FC191+FC187</f>
        <v>0</v>
      </c>
      <c r="FD223" s="64">
        <f t="shared" si="636"/>
        <v>0</v>
      </c>
      <c r="FE223" s="64">
        <f t="shared" si="636"/>
        <v>0</v>
      </c>
      <c r="FF223" s="64">
        <f t="shared" si="636"/>
        <v>0</v>
      </c>
    </row>
    <row r="224" spans="1:162" ht="18.75" x14ac:dyDescent="0.25">
      <c r="A224" s="68">
        <v>30</v>
      </c>
      <c r="B224" s="68"/>
      <c r="C224" s="91" t="s">
        <v>188</v>
      </c>
      <c r="D224" s="67" t="s">
        <v>470</v>
      </c>
      <c r="E224" s="69" t="s">
        <v>414</v>
      </c>
      <c r="F224" s="40">
        <v>0</v>
      </c>
      <c r="G224" s="40">
        <v>0</v>
      </c>
      <c r="H224" s="40">
        <v>0</v>
      </c>
      <c r="I224" s="70">
        <v>0</v>
      </c>
      <c r="J224" s="71"/>
      <c r="K224" s="41"/>
      <c r="L224" s="41"/>
      <c r="M224" s="41"/>
      <c r="N224" s="41"/>
      <c r="O224" s="41"/>
      <c r="P224" s="41"/>
      <c r="Q224" s="41"/>
      <c r="R224" s="41"/>
      <c r="S224" s="41"/>
      <c r="T224" s="92"/>
      <c r="U224" s="92"/>
      <c r="V224" s="70">
        <v>0</v>
      </c>
      <c r="W224" s="40">
        <f t="shared" ref="W224" si="637">+U224+V224</f>
        <v>0</v>
      </c>
      <c r="X224" s="43">
        <f t="shared" si="529"/>
        <v>0</v>
      </c>
      <c r="Y224" s="43">
        <f t="shared" si="529"/>
        <v>0</v>
      </c>
      <c r="Z224" s="43"/>
      <c r="AA224" s="43"/>
      <c r="AB224" s="43">
        <f t="shared" si="547"/>
        <v>0</v>
      </c>
      <c r="AC224" s="43">
        <f t="shared" si="548"/>
        <v>0</v>
      </c>
      <c r="AD224" s="43"/>
      <c r="AE224" s="43"/>
      <c r="AF224" s="43">
        <f t="shared" si="570"/>
        <v>0</v>
      </c>
      <c r="AG224" s="43">
        <f t="shared" si="530"/>
        <v>0</v>
      </c>
      <c r="AH224" s="43">
        <f t="shared" si="530"/>
        <v>0</v>
      </c>
      <c r="AI224" s="93">
        <f t="shared" si="531"/>
        <v>0</v>
      </c>
      <c r="AJ224" s="43">
        <f t="shared" si="531"/>
        <v>0</v>
      </c>
      <c r="AK224" s="43"/>
      <c r="AL224" s="43"/>
      <c r="AM224" s="43">
        <f t="shared" si="571"/>
        <v>0</v>
      </c>
      <c r="AN224" s="43">
        <f t="shared" si="572"/>
        <v>0</v>
      </c>
      <c r="AO224" s="43"/>
      <c r="AP224" s="43"/>
      <c r="AQ224" s="43">
        <f t="shared" si="532"/>
        <v>0</v>
      </c>
      <c r="AR224" s="43">
        <f t="shared" si="532"/>
        <v>0</v>
      </c>
      <c r="AS224" s="43"/>
      <c r="AT224" s="43"/>
      <c r="AU224" s="43">
        <f t="shared" si="623"/>
        <v>0</v>
      </c>
      <c r="AV224" s="43">
        <f t="shared" si="623"/>
        <v>0</v>
      </c>
      <c r="AW224" s="43"/>
      <c r="AX224" s="43"/>
      <c r="AY224" s="43">
        <f t="shared" si="520"/>
        <v>0</v>
      </c>
      <c r="AZ224" s="43">
        <f t="shared" si="520"/>
        <v>0</v>
      </c>
      <c r="BA224" s="43">
        <f t="shared" si="521"/>
        <v>0</v>
      </c>
      <c r="BB224" s="60"/>
      <c r="BC224" s="60"/>
      <c r="BD224" s="60">
        <f t="shared" si="522"/>
        <v>0</v>
      </c>
      <c r="BE224" s="60">
        <f t="shared" si="522"/>
        <v>0</v>
      </c>
      <c r="BF224" s="60">
        <f t="shared" si="523"/>
        <v>0</v>
      </c>
      <c r="BG224" s="60">
        <f t="shared" si="523"/>
        <v>0</v>
      </c>
      <c r="BH224" s="43">
        <v>0</v>
      </c>
      <c r="BI224" s="43">
        <v>0</v>
      </c>
      <c r="BJ224" s="43"/>
      <c r="BK224" s="43"/>
      <c r="BL224" s="43">
        <f t="shared" si="545"/>
        <v>0</v>
      </c>
      <c r="BM224" s="43">
        <f t="shared" si="545"/>
        <v>0</v>
      </c>
      <c r="BN224" s="43">
        <f t="shared" si="573"/>
        <v>0</v>
      </c>
      <c r="BO224" s="43">
        <v>0</v>
      </c>
      <c r="BP224" s="93">
        <f t="shared" ref="BP224" si="638">+BK224+BB224+BM224</f>
        <v>0</v>
      </c>
      <c r="BQ224" s="43">
        <f t="shared" si="549"/>
        <v>0</v>
      </c>
      <c r="BR224" s="43">
        <f t="shared" si="549"/>
        <v>0</v>
      </c>
      <c r="BS224" s="43">
        <f t="shared" si="550"/>
        <v>0</v>
      </c>
      <c r="BT224" s="43">
        <f t="shared" si="550"/>
        <v>0</v>
      </c>
      <c r="BU224" s="43">
        <f t="shared" si="583"/>
        <v>0</v>
      </c>
      <c r="BV224" s="43">
        <v>0</v>
      </c>
      <c r="BW224" s="43"/>
      <c r="BX224" s="43"/>
      <c r="BY224" s="43"/>
      <c r="BZ224" s="43"/>
      <c r="CA224" s="43">
        <v>0</v>
      </c>
      <c r="CB224" s="43">
        <v>0</v>
      </c>
      <c r="CC224" s="92">
        <v>0</v>
      </c>
      <c r="CD224" s="92">
        <v>0</v>
      </c>
      <c r="CE224" s="92">
        <v>0</v>
      </c>
      <c r="CF224" s="92">
        <v>0</v>
      </c>
      <c r="CG224" s="92">
        <f t="shared" si="551"/>
        <v>0</v>
      </c>
      <c r="CH224" s="92">
        <f t="shared" si="551"/>
        <v>0</v>
      </c>
      <c r="CI224" s="43"/>
      <c r="CJ224" s="43"/>
      <c r="CK224" s="43">
        <v>0</v>
      </c>
      <c r="CL224" s="43">
        <v>0</v>
      </c>
      <c r="CM224" s="43"/>
      <c r="CN224" s="43"/>
      <c r="CO224" s="43">
        <v>0</v>
      </c>
      <c r="CP224" s="43">
        <v>0</v>
      </c>
      <c r="CQ224" s="43">
        <f t="shared" si="552"/>
        <v>0</v>
      </c>
      <c r="CR224" s="43">
        <f t="shared" si="552"/>
        <v>0</v>
      </c>
      <c r="CS224" s="43">
        <f t="shared" si="553"/>
        <v>0</v>
      </c>
      <c r="CT224" s="43">
        <f t="shared" si="553"/>
        <v>0</v>
      </c>
      <c r="CU224" s="43">
        <v>0</v>
      </c>
      <c r="CV224" s="43">
        <v>0</v>
      </c>
      <c r="CW224" s="43">
        <f t="shared" si="554"/>
        <v>0</v>
      </c>
      <c r="CX224" s="43">
        <f t="shared" si="554"/>
        <v>0</v>
      </c>
      <c r="CY224" s="43"/>
      <c r="CZ224" s="43"/>
      <c r="DA224" s="43">
        <f t="shared" si="555"/>
        <v>0</v>
      </c>
      <c r="DB224" s="43">
        <f t="shared" si="555"/>
        <v>0</v>
      </c>
      <c r="DC224" s="43"/>
      <c r="DD224" s="43"/>
      <c r="DE224" s="43">
        <f t="shared" si="556"/>
        <v>0</v>
      </c>
      <c r="DF224" s="43">
        <f t="shared" si="556"/>
        <v>0</v>
      </c>
      <c r="DG224" s="43">
        <f>ROUND(0.25*(MIN(CU224,EW224)),2)</f>
        <v>0</v>
      </c>
      <c r="DH224" s="43">
        <f>ROUND(0.25*(MIN(CV224,EX224)),2)</f>
        <v>0</v>
      </c>
      <c r="DI224" s="43">
        <f>+DG224-DE224</f>
        <v>0</v>
      </c>
      <c r="DJ224" s="43">
        <f>+DH224-DF224</f>
        <v>0</v>
      </c>
      <c r="DK224" s="43"/>
      <c r="DL224" s="43"/>
      <c r="DM224" s="43">
        <f t="shared" si="558"/>
        <v>0</v>
      </c>
      <c r="DN224" s="43">
        <f t="shared" si="558"/>
        <v>0</v>
      </c>
      <c r="DO224" s="94">
        <v>0</v>
      </c>
      <c r="DP224" s="95">
        <v>0</v>
      </c>
      <c r="DQ224" s="60">
        <f t="shared" si="559"/>
        <v>0</v>
      </c>
      <c r="DR224" s="60">
        <f t="shared" si="559"/>
        <v>0</v>
      </c>
      <c r="DS224" s="60">
        <f t="shared" si="560"/>
        <v>0</v>
      </c>
      <c r="DT224" s="60">
        <f t="shared" si="560"/>
        <v>0</v>
      </c>
      <c r="DU224" s="60">
        <f t="shared" si="561"/>
        <v>0</v>
      </c>
      <c r="DV224" s="60">
        <f t="shared" si="561"/>
        <v>0</v>
      </c>
      <c r="DW224" s="60"/>
      <c r="DX224" s="60"/>
      <c r="DY224" s="60">
        <f t="shared" si="569"/>
        <v>0</v>
      </c>
      <c r="DZ224" s="60">
        <f t="shared" si="569"/>
        <v>0</v>
      </c>
      <c r="EA224" s="60"/>
      <c r="EB224" s="60"/>
      <c r="EC224" s="43">
        <f t="shared" si="562"/>
        <v>0</v>
      </c>
      <c r="ED224" s="43">
        <f t="shared" si="562"/>
        <v>0</v>
      </c>
      <c r="EE224" s="43"/>
      <c r="EF224" s="43"/>
      <c r="EG224" s="43" t="e">
        <f t="shared" si="607"/>
        <v>#DIV/0!</v>
      </c>
      <c r="EH224" s="43" t="e">
        <f t="shared" si="607"/>
        <v>#DIV/0!</v>
      </c>
      <c r="EI224" s="43">
        <f t="shared" si="563"/>
        <v>0</v>
      </c>
      <c r="EJ224" s="43">
        <f t="shared" si="563"/>
        <v>0</v>
      </c>
      <c r="EK224" s="43">
        <f t="shared" si="564"/>
        <v>0</v>
      </c>
      <c r="EL224" s="43">
        <f t="shared" si="564"/>
        <v>0</v>
      </c>
      <c r="EM224" s="43">
        <f t="shared" si="565"/>
        <v>0</v>
      </c>
      <c r="EN224" s="43">
        <f t="shared" si="565"/>
        <v>0</v>
      </c>
      <c r="EO224" s="43">
        <v>0</v>
      </c>
      <c r="EP224" s="43">
        <v>0</v>
      </c>
      <c r="EQ224" s="5"/>
      <c r="ER224" s="5"/>
      <c r="ES224" s="5"/>
      <c r="ET224" s="5"/>
      <c r="EU224" s="5">
        <f t="shared" si="442"/>
        <v>0</v>
      </c>
      <c r="EV224" s="5">
        <f t="shared" si="442"/>
        <v>0</v>
      </c>
      <c r="EW224" s="5">
        <v>0</v>
      </c>
      <c r="EX224" s="5">
        <v>0</v>
      </c>
      <c r="EY224" s="5">
        <v>0</v>
      </c>
      <c r="EZ224" s="5">
        <v>0</v>
      </c>
    </row>
    <row r="225" spans="1:159" ht="37.5" x14ac:dyDescent="0.25">
      <c r="A225" s="68"/>
      <c r="B225" s="68" t="s">
        <v>471</v>
      </c>
      <c r="C225" s="91"/>
      <c r="D225" s="67" t="s">
        <v>472</v>
      </c>
      <c r="E225" s="69" t="s">
        <v>473</v>
      </c>
      <c r="F225" s="40">
        <v>0</v>
      </c>
      <c r="G225" s="40">
        <v>0</v>
      </c>
      <c r="H225" s="40">
        <v>0</v>
      </c>
      <c r="I225" s="40">
        <v>0</v>
      </c>
      <c r="J225" s="41">
        <f t="shared" ref="J225:AA225" si="639">J224</f>
        <v>0</v>
      </c>
      <c r="K225" s="41">
        <f t="shared" si="639"/>
        <v>0</v>
      </c>
      <c r="L225" s="41">
        <f t="shared" si="639"/>
        <v>0</v>
      </c>
      <c r="M225" s="41">
        <f t="shared" si="639"/>
        <v>0</v>
      </c>
      <c r="N225" s="41">
        <f t="shared" si="639"/>
        <v>0</v>
      </c>
      <c r="O225" s="41">
        <f t="shared" si="639"/>
        <v>0</v>
      </c>
      <c r="P225" s="41">
        <f t="shared" si="639"/>
        <v>0</v>
      </c>
      <c r="Q225" s="41">
        <f t="shared" si="639"/>
        <v>0</v>
      </c>
      <c r="R225" s="41">
        <f t="shared" si="639"/>
        <v>0</v>
      </c>
      <c r="S225" s="41">
        <f t="shared" si="639"/>
        <v>0</v>
      </c>
      <c r="T225" s="41">
        <f t="shared" si="639"/>
        <v>0</v>
      </c>
      <c r="U225" s="41">
        <f t="shared" si="639"/>
        <v>0</v>
      </c>
      <c r="V225" s="41">
        <f t="shared" si="639"/>
        <v>0</v>
      </c>
      <c r="W225" s="41">
        <f t="shared" si="639"/>
        <v>0</v>
      </c>
      <c r="X225" s="41">
        <f t="shared" si="639"/>
        <v>0</v>
      </c>
      <c r="Y225" s="41">
        <f t="shared" si="639"/>
        <v>0</v>
      </c>
      <c r="Z225" s="41">
        <f t="shared" si="639"/>
        <v>0</v>
      </c>
      <c r="AA225" s="41">
        <f t="shared" si="639"/>
        <v>0</v>
      </c>
      <c r="AB225" s="40">
        <f t="shared" si="547"/>
        <v>0</v>
      </c>
      <c r="AC225" s="43">
        <f t="shared" si="548"/>
        <v>0</v>
      </c>
      <c r="AD225" s="40">
        <f t="shared" ref="AD225:CP225" si="640">AD224</f>
        <v>0</v>
      </c>
      <c r="AE225" s="40">
        <f t="shared" si="640"/>
        <v>0</v>
      </c>
      <c r="AF225" s="40">
        <f t="shared" si="640"/>
        <v>0</v>
      </c>
      <c r="AG225" s="40">
        <f t="shared" si="640"/>
        <v>0</v>
      </c>
      <c r="AH225" s="40">
        <f t="shared" si="640"/>
        <v>0</v>
      </c>
      <c r="AI225" s="102">
        <f t="shared" si="640"/>
        <v>0</v>
      </c>
      <c r="AJ225" s="40">
        <f t="shared" si="640"/>
        <v>0</v>
      </c>
      <c r="AK225" s="40">
        <f t="shared" si="640"/>
        <v>0</v>
      </c>
      <c r="AL225" s="40">
        <f t="shared" si="640"/>
        <v>0</v>
      </c>
      <c r="AM225" s="40">
        <f t="shared" si="640"/>
        <v>0</v>
      </c>
      <c r="AN225" s="40">
        <f t="shared" si="640"/>
        <v>0</v>
      </c>
      <c r="AO225" s="40">
        <f t="shared" si="640"/>
        <v>0</v>
      </c>
      <c r="AP225" s="40">
        <f t="shared" si="640"/>
        <v>0</v>
      </c>
      <c r="AQ225" s="40">
        <f t="shared" si="640"/>
        <v>0</v>
      </c>
      <c r="AR225" s="40">
        <f t="shared" si="640"/>
        <v>0</v>
      </c>
      <c r="AS225" s="40">
        <f t="shared" si="640"/>
        <v>0</v>
      </c>
      <c r="AT225" s="40">
        <f t="shared" si="640"/>
        <v>0</v>
      </c>
      <c r="AU225" s="40">
        <f t="shared" si="640"/>
        <v>0</v>
      </c>
      <c r="AV225" s="40">
        <f t="shared" si="640"/>
        <v>0</v>
      </c>
      <c r="AW225" s="40">
        <f t="shared" si="640"/>
        <v>0</v>
      </c>
      <c r="AX225" s="40">
        <f t="shared" si="640"/>
        <v>0</v>
      </c>
      <c r="AY225" s="40">
        <f t="shared" si="640"/>
        <v>0</v>
      </c>
      <c r="AZ225" s="40">
        <f t="shared" si="640"/>
        <v>0</v>
      </c>
      <c r="BA225" s="40">
        <f t="shared" si="640"/>
        <v>0</v>
      </c>
      <c r="BB225" s="40">
        <f t="shared" si="640"/>
        <v>0</v>
      </c>
      <c r="BC225" s="40">
        <f t="shared" si="640"/>
        <v>0</v>
      </c>
      <c r="BD225" s="40">
        <f t="shared" si="640"/>
        <v>0</v>
      </c>
      <c r="BE225" s="40">
        <f t="shared" si="640"/>
        <v>0</v>
      </c>
      <c r="BF225" s="40">
        <f t="shared" si="640"/>
        <v>0</v>
      </c>
      <c r="BG225" s="102">
        <f t="shared" si="640"/>
        <v>0</v>
      </c>
      <c r="BH225" s="102">
        <f t="shared" si="640"/>
        <v>0</v>
      </c>
      <c r="BI225" s="102">
        <f t="shared" si="640"/>
        <v>0</v>
      </c>
      <c r="BJ225" s="102">
        <f t="shared" si="640"/>
        <v>0</v>
      </c>
      <c r="BK225" s="102">
        <f t="shared" si="640"/>
        <v>0</v>
      </c>
      <c r="BL225" s="102">
        <f t="shared" si="640"/>
        <v>0</v>
      </c>
      <c r="BM225" s="102">
        <f t="shared" si="640"/>
        <v>0</v>
      </c>
      <c r="BN225" s="102">
        <f t="shared" si="640"/>
        <v>0</v>
      </c>
      <c r="BO225" s="102">
        <f t="shared" si="640"/>
        <v>0</v>
      </c>
      <c r="BP225" s="102">
        <f t="shared" si="640"/>
        <v>0</v>
      </c>
      <c r="BQ225" s="40">
        <f t="shared" si="640"/>
        <v>0</v>
      </c>
      <c r="BR225" s="40">
        <f t="shared" si="640"/>
        <v>0</v>
      </c>
      <c r="BS225" s="40">
        <f t="shared" si="640"/>
        <v>0</v>
      </c>
      <c r="BT225" s="40">
        <f t="shared" si="640"/>
        <v>0</v>
      </c>
      <c r="BU225" s="40">
        <f t="shared" si="640"/>
        <v>0</v>
      </c>
      <c r="BV225" s="40">
        <f t="shared" si="640"/>
        <v>0</v>
      </c>
      <c r="BW225" s="40">
        <f t="shared" si="640"/>
        <v>0</v>
      </c>
      <c r="BX225" s="40">
        <f t="shared" si="640"/>
        <v>0</v>
      </c>
      <c r="BY225" s="40">
        <f t="shared" si="640"/>
        <v>0</v>
      </c>
      <c r="BZ225" s="40">
        <f t="shared" si="640"/>
        <v>0</v>
      </c>
      <c r="CA225" s="40">
        <f t="shared" si="640"/>
        <v>0</v>
      </c>
      <c r="CB225" s="40">
        <f t="shared" si="640"/>
        <v>0</v>
      </c>
      <c r="CC225" s="40">
        <f t="shared" si="640"/>
        <v>0</v>
      </c>
      <c r="CD225" s="40">
        <f t="shared" si="640"/>
        <v>0</v>
      </c>
      <c r="CE225" s="40">
        <f t="shared" si="640"/>
        <v>0</v>
      </c>
      <c r="CF225" s="40">
        <f t="shared" si="640"/>
        <v>0</v>
      </c>
      <c r="CG225" s="40">
        <f t="shared" si="640"/>
        <v>0</v>
      </c>
      <c r="CH225" s="102">
        <f t="shared" si="640"/>
        <v>0</v>
      </c>
      <c r="CI225" s="40">
        <f t="shared" si="640"/>
        <v>0</v>
      </c>
      <c r="CJ225" s="40">
        <f t="shared" si="640"/>
        <v>0</v>
      </c>
      <c r="CK225" s="40">
        <f t="shared" si="640"/>
        <v>0</v>
      </c>
      <c r="CL225" s="40">
        <f t="shared" si="640"/>
        <v>0</v>
      </c>
      <c r="CM225" s="40">
        <f t="shared" si="640"/>
        <v>0</v>
      </c>
      <c r="CN225" s="40">
        <f t="shared" si="640"/>
        <v>0</v>
      </c>
      <c r="CO225" s="40">
        <f t="shared" si="640"/>
        <v>0</v>
      </c>
      <c r="CP225" s="40">
        <f t="shared" si="640"/>
        <v>0</v>
      </c>
      <c r="CQ225" s="40">
        <f t="shared" ref="CQ225:FC225" si="641">CQ224</f>
        <v>0</v>
      </c>
      <c r="CR225" s="40">
        <f t="shared" si="641"/>
        <v>0</v>
      </c>
      <c r="CS225" s="40">
        <f t="shared" si="641"/>
        <v>0</v>
      </c>
      <c r="CT225" s="40">
        <f t="shared" si="641"/>
        <v>0</v>
      </c>
      <c r="CU225" s="40">
        <f t="shared" si="641"/>
        <v>0</v>
      </c>
      <c r="CV225" s="40">
        <f t="shared" si="641"/>
        <v>0</v>
      </c>
      <c r="CW225" s="40">
        <f t="shared" si="641"/>
        <v>0</v>
      </c>
      <c r="CX225" s="40">
        <f t="shared" si="641"/>
        <v>0</v>
      </c>
      <c r="CY225" s="40">
        <f t="shared" si="641"/>
        <v>0</v>
      </c>
      <c r="CZ225" s="40">
        <f t="shared" si="641"/>
        <v>0</v>
      </c>
      <c r="DA225" s="40">
        <f t="shared" si="641"/>
        <v>0</v>
      </c>
      <c r="DB225" s="40">
        <f t="shared" si="641"/>
        <v>0</v>
      </c>
      <c r="DC225" s="40">
        <f t="shared" si="641"/>
        <v>0</v>
      </c>
      <c r="DD225" s="40">
        <f t="shared" si="641"/>
        <v>0</v>
      </c>
      <c r="DE225" s="40">
        <f t="shared" si="641"/>
        <v>0</v>
      </c>
      <c r="DF225" s="40">
        <f t="shared" si="641"/>
        <v>0</v>
      </c>
      <c r="DG225" s="40">
        <f t="shared" si="641"/>
        <v>0</v>
      </c>
      <c r="DH225" s="40">
        <f t="shared" si="641"/>
        <v>0</v>
      </c>
      <c r="DI225" s="40">
        <f t="shared" si="641"/>
        <v>0</v>
      </c>
      <c r="DJ225" s="40">
        <f t="shared" si="641"/>
        <v>0</v>
      </c>
      <c r="DK225" s="40">
        <f t="shared" si="641"/>
        <v>0</v>
      </c>
      <c r="DL225" s="40">
        <f t="shared" si="641"/>
        <v>0</v>
      </c>
      <c r="DM225" s="40">
        <f t="shared" si="641"/>
        <v>0</v>
      </c>
      <c r="DN225" s="40">
        <f t="shared" si="641"/>
        <v>0</v>
      </c>
      <c r="DO225" s="40">
        <f t="shared" si="641"/>
        <v>0</v>
      </c>
      <c r="DP225" s="40">
        <f t="shared" si="641"/>
        <v>0</v>
      </c>
      <c r="DQ225" s="40">
        <f t="shared" si="641"/>
        <v>0</v>
      </c>
      <c r="DR225" s="40">
        <f t="shared" si="641"/>
        <v>0</v>
      </c>
      <c r="DS225" s="40">
        <f t="shared" si="641"/>
        <v>0</v>
      </c>
      <c r="DT225" s="40">
        <f t="shared" si="641"/>
        <v>0</v>
      </c>
      <c r="DU225" s="40">
        <f t="shared" si="641"/>
        <v>0</v>
      </c>
      <c r="DV225" s="40">
        <f t="shared" si="641"/>
        <v>0</v>
      </c>
      <c r="DW225" s="40">
        <f t="shared" si="641"/>
        <v>0</v>
      </c>
      <c r="DX225" s="40">
        <f t="shared" si="641"/>
        <v>0</v>
      </c>
      <c r="DY225" s="40">
        <f t="shared" si="641"/>
        <v>0</v>
      </c>
      <c r="DZ225" s="40">
        <f t="shared" si="641"/>
        <v>0</v>
      </c>
      <c r="EA225" s="40">
        <f t="shared" si="641"/>
        <v>0</v>
      </c>
      <c r="EB225" s="102">
        <f t="shared" si="641"/>
        <v>0</v>
      </c>
      <c r="EC225" s="40">
        <f t="shared" si="641"/>
        <v>0</v>
      </c>
      <c r="ED225" s="40">
        <f t="shared" si="641"/>
        <v>0</v>
      </c>
      <c r="EE225" s="40">
        <f t="shared" si="641"/>
        <v>0</v>
      </c>
      <c r="EF225" s="40">
        <f t="shared" si="641"/>
        <v>0</v>
      </c>
      <c r="EG225" s="40" t="e">
        <f t="shared" si="641"/>
        <v>#DIV/0!</v>
      </c>
      <c r="EH225" s="40" t="e">
        <f t="shared" si="641"/>
        <v>#DIV/0!</v>
      </c>
      <c r="EI225" s="40">
        <f t="shared" si="641"/>
        <v>0</v>
      </c>
      <c r="EJ225" s="40">
        <f t="shared" si="641"/>
        <v>0</v>
      </c>
      <c r="EK225" s="40">
        <f t="shared" si="641"/>
        <v>0</v>
      </c>
      <c r="EL225" s="40">
        <f t="shared" si="641"/>
        <v>0</v>
      </c>
      <c r="EM225" s="40">
        <f t="shared" si="641"/>
        <v>0</v>
      </c>
      <c r="EN225" s="40">
        <f t="shared" si="641"/>
        <v>0</v>
      </c>
      <c r="EO225" s="40">
        <f t="shared" si="641"/>
        <v>0</v>
      </c>
      <c r="EP225" s="40">
        <f t="shared" si="641"/>
        <v>0</v>
      </c>
      <c r="EQ225" s="75">
        <f t="shared" si="641"/>
        <v>0</v>
      </c>
      <c r="ER225" s="64">
        <f t="shared" si="641"/>
        <v>0</v>
      </c>
      <c r="ES225" s="64">
        <f t="shared" si="641"/>
        <v>0</v>
      </c>
      <c r="ET225" s="64">
        <f t="shared" si="641"/>
        <v>0</v>
      </c>
      <c r="EU225" s="5">
        <f t="shared" ref="EU225:EV288" si="642">+EW225-EC225-EO225</f>
        <v>0</v>
      </c>
      <c r="EV225" s="5">
        <f t="shared" si="642"/>
        <v>0</v>
      </c>
      <c r="EW225" s="64">
        <f t="shared" si="641"/>
        <v>0</v>
      </c>
      <c r="EX225" s="64">
        <f t="shared" si="641"/>
        <v>0</v>
      </c>
      <c r="EY225" s="64">
        <f t="shared" si="641"/>
        <v>0</v>
      </c>
      <c r="EZ225" s="64">
        <f t="shared" si="641"/>
        <v>0</v>
      </c>
      <c r="FA225" s="64">
        <f t="shared" si="641"/>
        <v>0</v>
      </c>
      <c r="FB225" s="64">
        <f t="shared" si="641"/>
        <v>0</v>
      </c>
      <c r="FC225" s="64">
        <f t="shared" si="641"/>
        <v>0</v>
      </c>
    </row>
    <row r="226" spans="1:159" ht="18.75" x14ac:dyDescent="0.25">
      <c r="A226" s="37">
        <v>1</v>
      </c>
      <c r="B226" s="37"/>
      <c r="C226" s="91" t="s">
        <v>160</v>
      </c>
      <c r="D226" s="38" t="s">
        <v>474</v>
      </c>
      <c r="E226" s="39"/>
      <c r="F226" s="40">
        <v>2280</v>
      </c>
      <c r="G226" s="40">
        <v>1981.3200000000002</v>
      </c>
      <c r="H226" s="40">
        <v>2280</v>
      </c>
      <c r="I226" s="40">
        <v>1981.3200000000002</v>
      </c>
      <c r="J226" s="41">
        <v>2400</v>
      </c>
      <c r="K226" s="41">
        <v>0</v>
      </c>
      <c r="L226" s="41">
        <v>0</v>
      </c>
      <c r="M226" s="41">
        <f t="shared" ref="M226:M227" si="643">J226+K226+L226</f>
        <v>2400</v>
      </c>
      <c r="N226" s="41">
        <v>0</v>
      </c>
      <c r="O226" s="41">
        <v>0</v>
      </c>
      <c r="P226" s="41">
        <v>0</v>
      </c>
      <c r="Q226" s="41">
        <f t="shared" ref="Q226:Q227" si="644">N226+O226+P226</f>
        <v>0</v>
      </c>
      <c r="R226" s="41">
        <f t="shared" ref="R226:R227" si="645">+Q226+M226</f>
        <v>2400</v>
      </c>
      <c r="S226" s="41">
        <v>2120</v>
      </c>
      <c r="T226" s="92"/>
      <c r="U226" s="92"/>
      <c r="V226" s="40">
        <f t="shared" ref="V226:V227" si="646">ROUND(H226*1.0583,2)</f>
        <v>2412.92</v>
      </c>
      <c r="W226" s="40">
        <f t="shared" ref="W226:W227" si="647">ROUND(I226*1.0327,2)</f>
        <v>2046.11</v>
      </c>
      <c r="X226" s="43">
        <f t="shared" si="529"/>
        <v>-12.920000000000073</v>
      </c>
      <c r="Y226" s="43">
        <f t="shared" si="529"/>
        <v>73.8900000000001</v>
      </c>
      <c r="Z226" s="43">
        <v>2400</v>
      </c>
      <c r="AA226" s="43"/>
      <c r="AB226" s="43">
        <f t="shared" si="547"/>
        <v>2400</v>
      </c>
      <c r="AC226" s="43">
        <f t="shared" si="548"/>
        <v>0</v>
      </c>
      <c r="AD226" s="43">
        <f t="shared" ref="AD226:AE227" si="648">IF(X226&gt;0,V226,R226)</f>
        <v>2400</v>
      </c>
      <c r="AE226" s="43">
        <f t="shared" si="648"/>
        <v>2046.11</v>
      </c>
      <c r="AF226" s="43">
        <f t="shared" si="570"/>
        <v>1912.66</v>
      </c>
      <c r="AG226" s="43">
        <f t="shared" si="530"/>
        <v>600</v>
      </c>
      <c r="AH226" s="43">
        <f t="shared" si="530"/>
        <v>512</v>
      </c>
      <c r="AI226" s="93">
        <f t="shared" si="531"/>
        <v>200</v>
      </c>
      <c r="AJ226" s="43">
        <f t="shared" si="531"/>
        <v>171</v>
      </c>
      <c r="AK226" s="43"/>
      <c r="AL226" s="43"/>
      <c r="AM226" s="43">
        <f>ROUND(AD226*25%,2)-100</f>
        <v>500</v>
      </c>
      <c r="AN226" s="43">
        <f t="shared" si="572"/>
        <v>498.23</v>
      </c>
      <c r="AO226" s="43"/>
      <c r="AP226" s="43"/>
      <c r="AQ226" s="43">
        <f t="shared" si="532"/>
        <v>1100</v>
      </c>
      <c r="AR226" s="43">
        <f t="shared" si="532"/>
        <v>1010.23</v>
      </c>
      <c r="AS226" s="43"/>
      <c r="AT226" s="43"/>
      <c r="AU226" s="43">
        <f t="shared" si="623"/>
        <v>600</v>
      </c>
      <c r="AV226" s="43">
        <f>ROUND(AE226*25%,2)+164.95</f>
        <v>676.48</v>
      </c>
      <c r="AW226" s="43"/>
      <c r="AX226" s="43"/>
      <c r="AY226" s="43">
        <f t="shared" si="520"/>
        <v>1900</v>
      </c>
      <c r="AZ226" s="43">
        <f t="shared" si="520"/>
        <v>1857.71</v>
      </c>
      <c r="BA226" s="43">
        <f t="shared" si="521"/>
        <v>3757.71</v>
      </c>
      <c r="BB226" s="121">
        <v>1879</v>
      </c>
      <c r="BC226" s="60">
        <v>1903.81</v>
      </c>
      <c r="BD226" s="60">
        <f t="shared" si="522"/>
        <v>21</v>
      </c>
      <c r="BE226" s="60">
        <f t="shared" si="522"/>
        <v>-46.099999999999909</v>
      </c>
      <c r="BF226" s="60">
        <f t="shared" si="523"/>
        <v>375.8</v>
      </c>
      <c r="BG226" s="60">
        <f t="shared" si="523"/>
        <v>380.76</v>
      </c>
      <c r="BH226" s="43">
        <v>195.69</v>
      </c>
      <c r="BI226" s="43">
        <v>175</v>
      </c>
      <c r="BJ226" s="43"/>
      <c r="BK226" s="43"/>
      <c r="BL226" s="43">
        <f t="shared" si="545"/>
        <v>2095.69</v>
      </c>
      <c r="BM226" s="43">
        <f t="shared" si="545"/>
        <v>2032.71</v>
      </c>
      <c r="BN226" s="43">
        <f t="shared" si="573"/>
        <v>4128.3999999999996</v>
      </c>
      <c r="BO226" s="43">
        <v>2094.9499999999998</v>
      </c>
      <c r="BP226" s="93">
        <v>2058.23</v>
      </c>
      <c r="BQ226" s="43">
        <f t="shared" si="549"/>
        <v>0.74000000000023647</v>
      </c>
      <c r="BR226" s="43">
        <f t="shared" si="549"/>
        <v>-25.519999999999982</v>
      </c>
      <c r="BS226" s="43">
        <f t="shared" si="550"/>
        <v>190.45</v>
      </c>
      <c r="BT226" s="43">
        <f t="shared" si="550"/>
        <v>187.11</v>
      </c>
      <c r="BU226" s="43">
        <v>224.31</v>
      </c>
      <c r="BV226" s="43">
        <v>177.29</v>
      </c>
      <c r="BW226" s="43"/>
      <c r="BX226" s="43"/>
      <c r="BY226" s="43"/>
      <c r="BZ226" s="43"/>
      <c r="CA226" s="43">
        <v>2320</v>
      </c>
      <c r="CB226" s="43">
        <v>2210</v>
      </c>
      <c r="CC226" s="92">
        <v>2552</v>
      </c>
      <c r="CD226" s="92">
        <v>2541.5</v>
      </c>
      <c r="CE226" s="92">
        <v>213</v>
      </c>
      <c r="CF226" s="92">
        <v>212</v>
      </c>
      <c r="CG226" s="92">
        <f t="shared" si="551"/>
        <v>580</v>
      </c>
      <c r="CH226" s="92">
        <f t="shared" si="551"/>
        <v>552.5</v>
      </c>
      <c r="CI226" s="43"/>
      <c r="CJ226" s="43"/>
      <c r="CK226" s="43">
        <v>630</v>
      </c>
      <c r="CL226" s="43">
        <v>638</v>
      </c>
      <c r="CM226" s="43"/>
      <c r="CN226" s="43"/>
      <c r="CO226" s="43">
        <v>2500</v>
      </c>
      <c r="CP226" s="43">
        <v>2200</v>
      </c>
      <c r="CQ226" s="43">
        <f t="shared" si="552"/>
        <v>2520</v>
      </c>
      <c r="CR226" s="43">
        <f t="shared" si="552"/>
        <v>2552</v>
      </c>
      <c r="CS226" s="43">
        <f t="shared" si="553"/>
        <v>2500</v>
      </c>
      <c r="CT226" s="43">
        <f t="shared" si="553"/>
        <v>2200</v>
      </c>
      <c r="CU226" s="43">
        <v>2625</v>
      </c>
      <c r="CV226" s="43">
        <v>2270</v>
      </c>
      <c r="CW226" s="43">
        <f t="shared" si="554"/>
        <v>656.25</v>
      </c>
      <c r="CX226" s="43">
        <f t="shared" si="554"/>
        <v>567.5</v>
      </c>
      <c r="CY226" s="43"/>
      <c r="CZ226" s="43"/>
      <c r="DA226" s="43">
        <f t="shared" si="555"/>
        <v>1499.25</v>
      </c>
      <c r="DB226" s="43">
        <f t="shared" si="555"/>
        <v>1417.5</v>
      </c>
      <c r="DC226" s="43">
        <v>1544.59</v>
      </c>
      <c r="DD226" s="43">
        <v>1308.1600000000001</v>
      </c>
      <c r="DE226" s="43">
        <f t="shared" si="556"/>
        <v>-45.339999999999918</v>
      </c>
      <c r="DF226" s="43">
        <f t="shared" si="556"/>
        <v>109.33999999999992</v>
      </c>
      <c r="DG226" s="43">
        <f>ROUND(0.25*(MIN(CU226,EW226)),2)</f>
        <v>656.25</v>
      </c>
      <c r="DH226" s="43">
        <f>ROUND(0.25*(MIN(CV226,EX226)),2)</f>
        <v>567.5</v>
      </c>
      <c r="DI226" s="43">
        <f>+DG226-DE226</f>
        <v>701.58999999999992</v>
      </c>
      <c r="DJ226" s="43">
        <f>+DH226-DF226</f>
        <v>458.16000000000008</v>
      </c>
      <c r="DK226" s="43">
        <v>15</v>
      </c>
      <c r="DL226" s="43">
        <v>35</v>
      </c>
      <c r="DM226" s="43">
        <f t="shared" si="558"/>
        <v>2215.84</v>
      </c>
      <c r="DN226" s="43">
        <f t="shared" si="558"/>
        <v>1910.66</v>
      </c>
      <c r="DO226" s="94">
        <v>2222.94</v>
      </c>
      <c r="DP226" s="95">
        <v>1897.11</v>
      </c>
      <c r="DQ226" s="60">
        <f t="shared" si="559"/>
        <v>-7.1</v>
      </c>
      <c r="DR226" s="60">
        <f t="shared" si="559"/>
        <v>13.55</v>
      </c>
      <c r="DS226" s="60">
        <f t="shared" si="560"/>
        <v>222.29400000000001</v>
      </c>
      <c r="DT226" s="60">
        <f t="shared" si="560"/>
        <v>189.71099999999998</v>
      </c>
      <c r="DU226" s="60">
        <f t="shared" si="561"/>
        <v>229.39400000000001</v>
      </c>
      <c r="DV226" s="60">
        <f t="shared" si="561"/>
        <v>176.16099999999997</v>
      </c>
      <c r="DW226" s="60"/>
      <c r="DX226" s="60"/>
      <c r="DY226" s="60">
        <f t="shared" si="569"/>
        <v>229.39</v>
      </c>
      <c r="DZ226" s="60">
        <f t="shared" si="569"/>
        <v>176.16</v>
      </c>
      <c r="EA226" s="60"/>
      <c r="EB226" s="60"/>
      <c r="EC226" s="43">
        <f t="shared" si="562"/>
        <v>2445.23</v>
      </c>
      <c r="ED226" s="43">
        <f t="shared" si="562"/>
        <v>2086.8200000000002</v>
      </c>
      <c r="EE226" s="43">
        <v>2445.41</v>
      </c>
      <c r="EF226" s="43">
        <v>2097.8000000000002</v>
      </c>
      <c r="EG226" s="43">
        <f t="shared" si="607"/>
        <v>100.01</v>
      </c>
      <c r="EH226" s="43">
        <f t="shared" si="607"/>
        <v>100.53</v>
      </c>
      <c r="EI226" s="43">
        <f t="shared" si="563"/>
        <v>-0.18</v>
      </c>
      <c r="EJ226" s="43">
        <f t="shared" si="563"/>
        <v>-10.98</v>
      </c>
      <c r="EK226" s="43">
        <f t="shared" si="564"/>
        <v>222.31</v>
      </c>
      <c r="EL226" s="43">
        <f t="shared" si="564"/>
        <v>190.71</v>
      </c>
      <c r="EM226" s="43">
        <f t="shared" si="565"/>
        <v>222.49</v>
      </c>
      <c r="EN226" s="43">
        <f t="shared" si="565"/>
        <v>201.69</v>
      </c>
      <c r="EO226" s="43">
        <v>222.59</v>
      </c>
      <c r="EP226" s="43">
        <v>200</v>
      </c>
      <c r="EQ226" s="5"/>
      <c r="ER226" s="5"/>
      <c r="ES226" s="5"/>
      <c r="ET226" s="5"/>
      <c r="EU226" s="5">
        <f t="shared" si="642"/>
        <v>12.179999999999978</v>
      </c>
      <c r="EV226" s="5">
        <f t="shared" si="642"/>
        <v>83.179999999999836</v>
      </c>
      <c r="EW226" s="76">
        <v>2680</v>
      </c>
      <c r="EX226" s="5">
        <v>2370</v>
      </c>
      <c r="EY226" s="5">
        <v>3070</v>
      </c>
      <c r="EZ226" s="5">
        <v>2600</v>
      </c>
    </row>
    <row r="227" spans="1:159" ht="18.75" x14ac:dyDescent="0.25">
      <c r="A227" s="37">
        <v>2</v>
      </c>
      <c r="B227" s="37"/>
      <c r="C227" s="91" t="s">
        <v>160</v>
      </c>
      <c r="D227" s="38" t="s">
        <v>475</v>
      </c>
      <c r="E227" s="39"/>
      <c r="F227" s="40">
        <v>0</v>
      </c>
      <c r="G227" s="40">
        <v>0</v>
      </c>
      <c r="H227" s="40">
        <v>0</v>
      </c>
      <c r="I227" s="40">
        <v>0</v>
      </c>
      <c r="J227" s="41">
        <v>0</v>
      </c>
      <c r="K227" s="41">
        <v>0</v>
      </c>
      <c r="L227" s="41">
        <v>0</v>
      </c>
      <c r="M227" s="41">
        <f t="shared" si="643"/>
        <v>0</v>
      </c>
      <c r="N227" s="41">
        <v>0</v>
      </c>
      <c r="O227" s="41">
        <v>0</v>
      </c>
      <c r="P227" s="41">
        <v>0</v>
      </c>
      <c r="Q227" s="41">
        <f t="shared" si="644"/>
        <v>0</v>
      </c>
      <c r="R227" s="41">
        <f t="shared" si="645"/>
        <v>0</v>
      </c>
      <c r="S227" s="41"/>
      <c r="T227" s="92"/>
      <c r="U227" s="92"/>
      <c r="V227" s="40">
        <f t="shared" si="646"/>
        <v>0</v>
      </c>
      <c r="W227" s="40">
        <f t="shared" si="647"/>
        <v>0</v>
      </c>
      <c r="X227" s="43">
        <f t="shared" si="529"/>
        <v>0</v>
      </c>
      <c r="Y227" s="43">
        <f t="shared" si="529"/>
        <v>0</v>
      </c>
      <c r="Z227" s="43">
        <v>0</v>
      </c>
      <c r="AA227" s="43"/>
      <c r="AB227" s="43">
        <f t="shared" si="547"/>
        <v>0</v>
      </c>
      <c r="AC227" s="43">
        <f t="shared" si="548"/>
        <v>0</v>
      </c>
      <c r="AD227" s="43">
        <f t="shared" si="648"/>
        <v>0</v>
      </c>
      <c r="AE227" s="43">
        <f t="shared" si="648"/>
        <v>0</v>
      </c>
      <c r="AF227" s="43">
        <f t="shared" si="570"/>
        <v>0</v>
      </c>
      <c r="AG227" s="43">
        <f t="shared" si="530"/>
        <v>0</v>
      </c>
      <c r="AH227" s="43">
        <f t="shared" si="530"/>
        <v>0</v>
      </c>
      <c r="AI227" s="93">
        <f t="shared" si="531"/>
        <v>0</v>
      </c>
      <c r="AJ227" s="43">
        <f t="shared" si="531"/>
        <v>0</v>
      </c>
      <c r="AK227" s="43"/>
      <c r="AL227" s="43"/>
      <c r="AM227" s="43">
        <f t="shared" si="571"/>
        <v>0</v>
      </c>
      <c r="AN227" s="43">
        <f t="shared" si="572"/>
        <v>0</v>
      </c>
      <c r="AO227" s="43"/>
      <c r="AP227" s="43"/>
      <c r="AQ227" s="43">
        <f t="shared" si="532"/>
        <v>0</v>
      </c>
      <c r="AR227" s="43">
        <f t="shared" si="532"/>
        <v>0</v>
      </c>
      <c r="AS227" s="43"/>
      <c r="AT227" s="43"/>
      <c r="AU227" s="43">
        <f t="shared" si="623"/>
        <v>0</v>
      </c>
      <c r="AV227" s="43">
        <f t="shared" si="623"/>
        <v>0</v>
      </c>
      <c r="AW227" s="43"/>
      <c r="AX227" s="43"/>
      <c r="AY227" s="43">
        <f t="shared" si="520"/>
        <v>0</v>
      </c>
      <c r="AZ227" s="43">
        <f t="shared" si="520"/>
        <v>0</v>
      </c>
      <c r="BA227" s="43">
        <f t="shared" si="521"/>
        <v>0</v>
      </c>
      <c r="BB227" s="121">
        <v>0</v>
      </c>
      <c r="BC227" s="60"/>
      <c r="BD227" s="60">
        <f t="shared" si="522"/>
        <v>0</v>
      </c>
      <c r="BE227" s="60">
        <f t="shared" si="522"/>
        <v>0</v>
      </c>
      <c r="BF227" s="60">
        <f t="shared" si="523"/>
        <v>0</v>
      </c>
      <c r="BG227" s="60">
        <f t="shared" si="523"/>
        <v>0</v>
      </c>
      <c r="BH227" s="43">
        <v>0</v>
      </c>
      <c r="BI227" s="43">
        <v>0</v>
      </c>
      <c r="BJ227" s="43"/>
      <c r="BK227" s="43"/>
      <c r="BL227" s="43">
        <f t="shared" si="545"/>
        <v>0</v>
      </c>
      <c r="BM227" s="43">
        <f t="shared" si="545"/>
        <v>0</v>
      </c>
      <c r="BN227" s="43">
        <f t="shared" si="573"/>
        <v>0</v>
      </c>
      <c r="BO227" s="43">
        <v>0</v>
      </c>
      <c r="BP227" s="93"/>
      <c r="BQ227" s="43">
        <f t="shared" si="549"/>
        <v>0</v>
      </c>
      <c r="BR227" s="43">
        <f t="shared" si="549"/>
        <v>0</v>
      </c>
      <c r="BS227" s="43">
        <f t="shared" si="550"/>
        <v>0</v>
      </c>
      <c r="BT227" s="43">
        <f t="shared" si="550"/>
        <v>0</v>
      </c>
      <c r="BU227" s="43">
        <f t="shared" si="583"/>
        <v>0</v>
      </c>
      <c r="BV227" s="43">
        <v>0</v>
      </c>
      <c r="BW227" s="43"/>
      <c r="BX227" s="43"/>
      <c r="BY227" s="43"/>
      <c r="BZ227" s="43"/>
      <c r="CA227" s="43">
        <v>0</v>
      </c>
      <c r="CB227" s="43">
        <v>0</v>
      </c>
      <c r="CC227" s="92">
        <v>0</v>
      </c>
      <c r="CD227" s="92">
        <v>0</v>
      </c>
      <c r="CE227" s="92">
        <v>0</v>
      </c>
      <c r="CF227" s="92">
        <v>0</v>
      </c>
      <c r="CG227" s="92">
        <f t="shared" si="551"/>
        <v>0</v>
      </c>
      <c r="CH227" s="92">
        <f t="shared" si="551"/>
        <v>0</v>
      </c>
      <c r="CI227" s="43"/>
      <c r="CJ227" s="43"/>
      <c r="CK227" s="43">
        <v>0</v>
      </c>
      <c r="CL227" s="43">
        <v>0</v>
      </c>
      <c r="CM227" s="43"/>
      <c r="CN227" s="43"/>
      <c r="CO227" s="43"/>
      <c r="CP227" s="43"/>
      <c r="CQ227" s="43">
        <f t="shared" si="552"/>
        <v>0</v>
      </c>
      <c r="CR227" s="43">
        <f t="shared" si="552"/>
        <v>0</v>
      </c>
      <c r="CS227" s="43">
        <f t="shared" si="553"/>
        <v>0</v>
      </c>
      <c r="CT227" s="43">
        <f t="shared" si="553"/>
        <v>0</v>
      </c>
      <c r="CU227" s="43">
        <f t="shared" si="553"/>
        <v>0</v>
      </c>
      <c r="CV227" s="43">
        <f t="shared" si="553"/>
        <v>0</v>
      </c>
      <c r="CW227" s="43">
        <f t="shared" si="554"/>
        <v>0</v>
      </c>
      <c r="CX227" s="43">
        <f t="shared" si="554"/>
        <v>0</v>
      </c>
      <c r="CY227" s="43"/>
      <c r="CZ227" s="43"/>
      <c r="DA227" s="43">
        <f t="shared" si="555"/>
        <v>0</v>
      </c>
      <c r="DB227" s="43">
        <f t="shared" si="555"/>
        <v>0</v>
      </c>
      <c r="DC227" s="43">
        <v>0</v>
      </c>
      <c r="DD227" s="43">
        <v>0</v>
      </c>
      <c r="DE227" s="43">
        <f t="shared" si="556"/>
        <v>0</v>
      </c>
      <c r="DF227" s="43">
        <f t="shared" si="556"/>
        <v>0</v>
      </c>
      <c r="DG227" s="43">
        <f>ROUND(0.25*(MIN(CU227,EW227)),2)</f>
        <v>0</v>
      </c>
      <c r="DH227" s="43">
        <f>ROUND(0.25*(MIN(CV227,EX227)),2)</f>
        <v>0</v>
      </c>
      <c r="DI227" s="43">
        <f>+DG227-DE227</f>
        <v>0</v>
      </c>
      <c r="DJ227" s="43">
        <f>+DH227-DF227</f>
        <v>0</v>
      </c>
      <c r="DK227" s="43"/>
      <c r="DL227" s="43"/>
      <c r="DM227" s="43">
        <f t="shared" si="558"/>
        <v>0</v>
      </c>
      <c r="DN227" s="43">
        <f t="shared" si="558"/>
        <v>0</v>
      </c>
      <c r="DO227" s="94">
        <v>0</v>
      </c>
      <c r="DP227" s="95">
        <v>0</v>
      </c>
      <c r="DQ227" s="60">
        <f t="shared" si="559"/>
        <v>0</v>
      </c>
      <c r="DR227" s="60">
        <f t="shared" si="559"/>
        <v>0</v>
      </c>
      <c r="DS227" s="60">
        <f t="shared" si="560"/>
        <v>0</v>
      </c>
      <c r="DT227" s="60">
        <f t="shared" si="560"/>
        <v>0</v>
      </c>
      <c r="DU227" s="60">
        <f t="shared" si="561"/>
        <v>0</v>
      </c>
      <c r="DV227" s="60">
        <f t="shared" si="561"/>
        <v>0</v>
      </c>
      <c r="DW227" s="60"/>
      <c r="DX227" s="60"/>
      <c r="DY227" s="60">
        <f t="shared" si="569"/>
        <v>0</v>
      </c>
      <c r="DZ227" s="60">
        <f t="shared" si="569"/>
        <v>0</v>
      </c>
      <c r="EA227" s="60"/>
      <c r="EB227" s="60"/>
      <c r="EC227" s="43">
        <f t="shared" si="562"/>
        <v>0</v>
      </c>
      <c r="ED227" s="43">
        <f t="shared" si="562"/>
        <v>0</v>
      </c>
      <c r="EE227" s="43">
        <v>0</v>
      </c>
      <c r="EF227" s="43">
        <v>0</v>
      </c>
      <c r="EG227" s="43" t="e">
        <f t="shared" si="607"/>
        <v>#DIV/0!</v>
      </c>
      <c r="EH227" s="43" t="e">
        <f t="shared" si="607"/>
        <v>#DIV/0!</v>
      </c>
      <c r="EI227" s="43">
        <f t="shared" si="563"/>
        <v>0</v>
      </c>
      <c r="EJ227" s="43">
        <f t="shared" si="563"/>
        <v>0</v>
      </c>
      <c r="EK227" s="43">
        <f t="shared" si="564"/>
        <v>0</v>
      </c>
      <c r="EL227" s="43">
        <f t="shared" si="564"/>
        <v>0</v>
      </c>
      <c r="EM227" s="43">
        <f t="shared" si="565"/>
        <v>0</v>
      </c>
      <c r="EN227" s="43">
        <f t="shared" si="565"/>
        <v>0</v>
      </c>
      <c r="EO227" s="43">
        <v>0</v>
      </c>
      <c r="EP227" s="43">
        <v>0</v>
      </c>
      <c r="EQ227" s="5"/>
      <c r="ER227" s="5"/>
      <c r="ES227" s="5"/>
      <c r="ET227" s="5"/>
      <c r="EU227" s="5">
        <f t="shared" si="642"/>
        <v>0</v>
      </c>
      <c r="EV227" s="5">
        <f t="shared" si="642"/>
        <v>0</v>
      </c>
      <c r="EW227" s="5">
        <v>0</v>
      </c>
      <c r="EX227" s="5">
        <v>0</v>
      </c>
      <c r="EY227" s="5">
        <v>0</v>
      </c>
      <c r="EZ227" s="5">
        <v>0</v>
      </c>
    </row>
    <row r="228" spans="1:159" ht="18.75" x14ac:dyDescent="0.25">
      <c r="A228" s="68"/>
      <c r="B228" s="68" t="s">
        <v>476</v>
      </c>
      <c r="C228" s="91" t="s">
        <v>160</v>
      </c>
      <c r="D228" s="67" t="s">
        <v>474</v>
      </c>
      <c r="E228" s="69" t="s">
        <v>477</v>
      </c>
      <c r="F228" s="70">
        <v>2280</v>
      </c>
      <c r="G228" s="70">
        <v>1981.3200000000002</v>
      </c>
      <c r="H228" s="70">
        <v>2280</v>
      </c>
      <c r="I228" s="70">
        <v>1981.3200000000002</v>
      </c>
      <c r="J228" s="71">
        <f t="shared" ref="J228:AA228" si="649">+J226+J227</f>
        <v>2400</v>
      </c>
      <c r="K228" s="71">
        <f t="shared" si="649"/>
        <v>0</v>
      </c>
      <c r="L228" s="71">
        <f t="shared" si="649"/>
        <v>0</v>
      </c>
      <c r="M228" s="71">
        <f t="shared" si="649"/>
        <v>2400</v>
      </c>
      <c r="N228" s="71">
        <f t="shared" si="649"/>
        <v>0</v>
      </c>
      <c r="O228" s="71">
        <f t="shared" si="649"/>
        <v>0</v>
      </c>
      <c r="P228" s="71">
        <f t="shared" si="649"/>
        <v>0</v>
      </c>
      <c r="Q228" s="71">
        <f t="shared" si="649"/>
        <v>0</v>
      </c>
      <c r="R228" s="71">
        <f t="shared" si="649"/>
        <v>2400</v>
      </c>
      <c r="S228" s="71">
        <f t="shared" si="649"/>
        <v>2120</v>
      </c>
      <c r="T228" s="71">
        <f t="shared" si="649"/>
        <v>0</v>
      </c>
      <c r="U228" s="71">
        <f t="shared" si="649"/>
        <v>0</v>
      </c>
      <c r="V228" s="71">
        <f t="shared" si="649"/>
        <v>2412.92</v>
      </c>
      <c r="W228" s="71">
        <f t="shared" si="649"/>
        <v>2046.11</v>
      </c>
      <c r="X228" s="71">
        <f t="shared" si="649"/>
        <v>-12.920000000000073</v>
      </c>
      <c r="Y228" s="71">
        <f t="shared" si="649"/>
        <v>73.8900000000001</v>
      </c>
      <c r="Z228" s="71">
        <f t="shared" si="649"/>
        <v>2400</v>
      </c>
      <c r="AA228" s="71">
        <f t="shared" si="649"/>
        <v>0</v>
      </c>
      <c r="AB228" s="70">
        <f t="shared" si="547"/>
        <v>2400</v>
      </c>
      <c r="AC228" s="43">
        <f t="shared" si="548"/>
        <v>0</v>
      </c>
      <c r="AD228" s="70">
        <f t="shared" ref="AD228:CP228" si="650">+AD226+AD227</f>
        <v>2400</v>
      </c>
      <c r="AE228" s="70">
        <f t="shared" si="650"/>
        <v>2046.11</v>
      </c>
      <c r="AF228" s="70">
        <f t="shared" si="650"/>
        <v>1912.66</v>
      </c>
      <c r="AG228" s="70">
        <f t="shared" si="650"/>
        <v>600</v>
      </c>
      <c r="AH228" s="70">
        <f t="shared" si="650"/>
        <v>512</v>
      </c>
      <c r="AI228" s="96">
        <f t="shared" si="650"/>
        <v>200</v>
      </c>
      <c r="AJ228" s="70">
        <f t="shared" si="650"/>
        <v>171</v>
      </c>
      <c r="AK228" s="70">
        <f t="shared" si="650"/>
        <v>0</v>
      </c>
      <c r="AL228" s="70">
        <f t="shared" si="650"/>
        <v>0</v>
      </c>
      <c r="AM228" s="70">
        <f t="shared" si="650"/>
        <v>500</v>
      </c>
      <c r="AN228" s="70">
        <f t="shared" si="650"/>
        <v>498.23</v>
      </c>
      <c r="AO228" s="70">
        <f t="shared" si="650"/>
        <v>0</v>
      </c>
      <c r="AP228" s="70">
        <f t="shared" si="650"/>
        <v>0</v>
      </c>
      <c r="AQ228" s="70">
        <f t="shared" si="650"/>
        <v>1100</v>
      </c>
      <c r="AR228" s="70">
        <f t="shared" si="650"/>
        <v>1010.23</v>
      </c>
      <c r="AS228" s="70">
        <f t="shared" si="650"/>
        <v>0</v>
      </c>
      <c r="AT228" s="70">
        <f t="shared" si="650"/>
        <v>0</v>
      </c>
      <c r="AU228" s="70">
        <f t="shared" si="650"/>
        <v>600</v>
      </c>
      <c r="AV228" s="70">
        <f t="shared" si="650"/>
        <v>676.48</v>
      </c>
      <c r="AW228" s="70">
        <f t="shared" si="650"/>
        <v>0</v>
      </c>
      <c r="AX228" s="70">
        <f t="shared" si="650"/>
        <v>0</v>
      </c>
      <c r="AY228" s="70">
        <f t="shared" si="650"/>
        <v>1900</v>
      </c>
      <c r="AZ228" s="70">
        <f t="shared" si="650"/>
        <v>1857.71</v>
      </c>
      <c r="BA228" s="70">
        <f t="shared" si="650"/>
        <v>3757.71</v>
      </c>
      <c r="BB228" s="70">
        <f t="shared" si="650"/>
        <v>1879</v>
      </c>
      <c r="BC228" s="70">
        <f t="shared" si="650"/>
        <v>1903.81</v>
      </c>
      <c r="BD228" s="70">
        <f t="shared" si="650"/>
        <v>21</v>
      </c>
      <c r="BE228" s="70">
        <f t="shared" si="650"/>
        <v>-46.099999999999909</v>
      </c>
      <c r="BF228" s="70">
        <f t="shared" si="650"/>
        <v>375.8</v>
      </c>
      <c r="BG228" s="96">
        <f t="shared" si="650"/>
        <v>380.76</v>
      </c>
      <c r="BH228" s="96">
        <f t="shared" si="650"/>
        <v>195.69</v>
      </c>
      <c r="BI228" s="96">
        <f t="shared" si="650"/>
        <v>175</v>
      </c>
      <c r="BJ228" s="96">
        <f t="shared" si="650"/>
        <v>0</v>
      </c>
      <c r="BK228" s="96">
        <f t="shared" si="650"/>
        <v>0</v>
      </c>
      <c r="BL228" s="96">
        <f t="shared" si="650"/>
        <v>2095.69</v>
      </c>
      <c r="BM228" s="96">
        <f t="shared" si="650"/>
        <v>2032.71</v>
      </c>
      <c r="BN228" s="96">
        <f t="shared" si="650"/>
        <v>4128.3999999999996</v>
      </c>
      <c r="BO228" s="96">
        <f t="shared" si="650"/>
        <v>2094.9499999999998</v>
      </c>
      <c r="BP228" s="96">
        <f t="shared" si="650"/>
        <v>2058.23</v>
      </c>
      <c r="BQ228" s="70">
        <f t="shared" si="650"/>
        <v>0.74000000000023647</v>
      </c>
      <c r="BR228" s="70">
        <f t="shared" si="650"/>
        <v>-25.519999999999982</v>
      </c>
      <c r="BS228" s="70">
        <f t="shared" si="650"/>
        <v>190.45</v>
      </c>
      <c r="BT228" s="70">
        <f t="shared" si="650"/>
        <v>187.11</v>
      </c>
      <c r="BU228" s="70">
        <f t="shared" si="650"/>
        <v>224.31</v>
      </c>
      <c r="BV228" s="70">
        <f t="shared" si="650"/>
        <v>177.29</v>
      </c>
      <c r="BW228" s="70">
        <f t="shared" si="650"/>
        <v>0</v>
      </c>
      <c r="BX228" s="70">
        <f t="shared" si="650"/>
        <v>0</v>
      </c>
      <c r="BY228" s="70">
        <f t="shared" si="650"/>
        <v>0</v>
      </c>
      <c r="BZ228" s="70">
        <f t="shared" si="650"/>
        <v>0</v>
      </c>
      <c r="CA228" s="70">
        <f t="shared" si="650"/>
        <v>2320</v>
      </c>
      <c r="CB228" s="70">
        <f t="shared" si="650"/>
        <v>2210</v>
      </c>
      <c r="CC228" s="70">
        <f t="shared" si="650"/>
        <v>2552</v>
      </c>
      <c r="CD228" s="70">
        <f t="shared" si="650"/>
        <v>2541.5</v>
      </c>
      <c r="CE228" s="70">
        <f t="shared" si="650"/>
        <v>213</v>
      </c>
      <c r="CF228" s="70">
        <f t="shared" si="650"/>
        <v>212</v>
      </c>
      <c r="CG228" s="70">
        <f t="shared" si="650"/>
        <v>580</v>
      </c>
      <c r="CH228" s="96">
        <f t="shared" si="650"/>
        <v>552.5</v>
      </c>
      <c r="CI228" s="70">
        <f t="shared" si="650"/>
        <v>0</v>
      </c>
      <c r="CJ228" s="70">
        <f t="shared" si="650"/>
        <v>0</v>
      </c>
      <c r="CK228" s="70">
        <f t="shared" si="650"/>
        <v>630</v>
      </c>
      <c r="CL228" s="70">
        <f t="shared" si="650"/>
        <v>638</v>
      </c>
      <c r="CM228" s="70">
        <f t="shared" si="650"/>
        <v>0</v>
      </c>
      <c r="CN228" s="70">
        <f t="shared" si="650"/>
        <v>0</v>
      </c>
      <c r="CO228" s="70">
        <f t="shared" si="650"/>
        <v>2500</v>
      </c>
      <c r="CP228" s="70">
        <f t="shared" si="650"/>
        <v>2200</v>
      </c>
      <c r="CQ228" s="70">
        <f t="shared" ref="CQ228:EZ228" si="651">+CQ226+CQ227</f>
        <v>2520</v>
      </c>
      <c r="CR228" s="70">
        <f t="shared" si="651"/>
        <v>2552</v>
      </c>
      <c r="CS228" s="70">
        <f t="shared" si="651"/>
        <v>2500</v>
      </c>
      <c r="CT228" s="70">
        <f t="shared" si="651"/>
        <v>2200</v>
      </c>
      <c r="CU228" s="70">
        <f t="shared" si="651"/>
        <v>2625</v>
      </c>
      <c r="CV228" s="70">
        <f t="shared" si="651"/>
        <v>2270</v>
      </c>
      <c r="CW228" s="70">
        <f t="shared" si="651"/>
        <v>656.25</v>
      </c>
      <c r="CX228" s="70">
        <f t="shared" si="651"/>
        <v>567.5</v>
      </c>
      <c r="CY228" s="70">
        <f t="shared" si="651"/>
        <v>0</v>
      </c>
      <c r="CZ228" s="70">
        <f t="shared" si="651"/>
        <v>0</v>
      </c>
      <c r="DA228" s="70">
        <f t="shared" si="651"/>
        <v>1499.25</v>
      </c>
      <c r="DB228" s="70">
        <f t="shared" si="651"/>
        <v>1417.5</v>
      </c>
      <c r="DC228" s="70">
        <f t="shared" si="651"/>
        <v>1544.59</v>
      </c>
      <c r="DD228" s="70">
        <f t="shared" si="651"/>
        <v>1308.1600000000001</v>
      </c>
      <c r="DE228" s="70">
        <f t="shared" si="651"/>
        <v>-45.339999999999918</v>
      </c>
      <c r="DF228" s="70">
        <f t="shared" si="651"/>
        <v>109.33999999999992</v>
      </c>
      <c r="DG228" s="70">
        <f t="shared" si="651"/>
        <v>656.25</v>
      </c>
      <c r="DH228" s="70">
        <f t="shared" si="651"/>
        <v>567.5</v>
      </c>
      <c r="DI228" s="70">
        <f t="shared" si="651"/>
        <v>701.58999999999992</v>
      </c>
      <c r="DJ228" s="70">
        <f t="shared" si="651"/>
        <v>458.16000000000008</v>
      </c>
      <c r="DK228" s="70">
        <f t="shared" si="651"/>
        <v>15</v>
      </c>
      <c r="DL228" s="70">
        <f t="shared" si="651"/>
        <v>35</v>
      </c>
      <c r="DM228" s="70">
        <f t="shared" si="651"/>
        <v>2215.84</v>
      </c>
      <c r="DN228" s="70">
        <f t="shared" si="651"/>
        <v>1910.66</v>
      </c>
      <c r="DO228" s="70">
        <f t="shared" si="651"/>
        <v>2222.94</v>
      </c>
      <c r="DP228" s="70">
        <f t="shared" si="651"/>
        <v>1897.11</v>
      </c>
      <c r="DQ228" s="70">
        <f t="shared" si="651"/>
        <v>-7.1</v>
      </c>
      <c r="DR228" s="70">
        <f t="shared" si="651"/>
        <v>13.55</v>
      </c>
      <c r="DS228" s="70">
        <f t="shared" si="651"/>
        <v>222.29400000000001</v>
      </c>
      <c r="DT228" s="70">
        <f t="shared" si="651"/>
        <v>189.71099999999998</v>
      </c>
      <c r="DU228" s="70">
        <f t="shared" si="651"/>
        <v>229.39400000000001</v>
      </c>
      <c r="DV228" s="70">
        <f t="shared" si="651"/>
        <v>176.16099999999997</v>
      </c>
      <c r="DW228" s="70">
        <f t="shared" si="651"/>
        <v>0</v>
      </c>
      <c r="DX228" s="70">
        <f t="shared" si="651"/>
        <v>0</v>
      </c>
      <c r="DY228" s="70">
        <f t="shared" si="651"/>
        <v>229.39</v>
      </c>
      <c r="DZ228" s="70">
        <f t="shared" si="651"/>
        <v>176.16</v>
      </c>
      <c r="EA228" s="70">
        <f t="shared" si="651"/>
        <v>0</v>
      </c>
      <c r="EB228" s="96">
        <f t="shared" si="651"/>
        <v>0</v>
      </c>
      <c r="EC228" s="70">
        <f t="shared" si="651"/>
        <v>2445.23</v>
      </c>
      <c r="ED228" s="70">
        <f t="shared" si="651"/>
        <v>2086.8200000000002</v>
      </c>
      <c r="EE228" s="70">
        <f t="shared" si="651"/>
        <v>2445.41</v>
      </c>
      <c r="EF228" s="70">
        <f t="shared" si="651"/>
        <v>2097.8000000000002</v>
      </c>
      <c r="EG228" s="70" t="e">
        <f t="shared" si="651"/>
        <v>#DIV/0!</v>
      </c>
      <c r="EH228" s="70" t="e">
        <f t="shared" si="651"/>
        <v>#DIV/0!</v>
      </c>
      <c r="EI228" s="70">
        <f t="shared" si="651"/>
        <v>-0.18</v>
      </c>
      <c r="EJ228" s="70">
        <f t="shared" si="651"/>
        <v>-10.98</v>
      </c>
      <c r="EK228" s="70">
        <f t="shared" si="651"/>
        <v>222.31</v>
      </c>
      <c r="EL228" s="70">
        <f t="shared" si="651"/>
        <v>190.71</v>
      </c>
      <c r="EM228" s="70">
        <f t="shared" si="651"/>
        <v>222.49</v>
      </c>
      <c r="EN228" s="70">
        <f t="shared" si="651"/>
        <v>201.69</v>
      </c>
      <c r="EO228" s="70">
        <f t="shared" si="651"/>
        <v>222.59</v>
      </c>
      <c r="EP228" s="70">
        <f t="shared" si="651"/>
        <v>200</v>
      </c>
      <c r="EQ228" s="66">
        <f t="shared" si="651"/>
        <v>0</v>
      </c>
      <c r="ER228" s="46">
        <f t="shared" si="651"/>
        <v>0</v>
      </c>
      <c r="ES228" s="46">
        <f t="shared" si="651"/>
        <v>0</v>
      </c>
      <c r="ET228" s="46">
        <f t="shared" si="651"/>
        <v>0</v>
      </c>
      <c r="EU228" s="5">
        <f t="shared" si="642"/>
        <v>12.179999999999978</v>
      </c>
      <c r="EV228" s="5">
        <f t="shared" si="642"/>
        <v>83.179999999999836</v>
      </c>
      <c r="EW228" s="46">
        <f t="shared" si="651"/>
        <v>2680</v>
      </c>
      <c r="EX228" s="46">
        <f t="shared" si="651"/>
        <v>2370</v>
      </c>
      <c r="EY228" s="46">
        <f t="shared" si="651"/>
        <v>3070</v>
      </c>
      <c r="EZ228" s="46">
        <f t="shared" si="651"/>
        <v>2600</v>
      </c>
    </row>
    <row r="229" spans="1:159" ht="17.25" customHeight="1" x14ac:dyDescent="0.25">
      <c r="A229" s="68">
        <v>3</v>
      </c>
      <c r="B229" s="68" t="s">
        <v>478</v>
      </c>
      <c r="C229" s="91" t="s">
        <v>107</v>
      </c>
      <c r="D229" s="122" t="s">
        <v>479</v>
      </c>
      <c r="E229" s="69" t="s">
        <v>480</v>
      </c>
      <c r="F229" s="40">
        <v>2809.96</v>
      </c>
      <c r="G229" s="40">
        <v>6650.1999999999989</v>
      </c>
      <c r="H229" s="40">
        <v>2809.96</v>
      </c>
      <c r="I229" s="70">
        <v>6680.1999999999989</v>
      </c>
      <c r="J229" s="71">
        <v>3551.58</v>
      </c>
      <c r="K229" s="71">
        <v>0</v>
      </c>
      <c r="L229" s="71">
        <v>0.2</v>
      </c>
      <c r="M229" s="71">
        <f t="shared" ref="M229:M232" si="652">+L229+K229+J229</f>
        <v>3551.7799999999997</v>
      </c>
      <c r="N229" s="71">
        <v>0</v>
      </c>
      <c r="O229" s="71">
        <v>0</v>
      </c>
      <c r="P229" s="71">
        <v>0</v>
      </c>
      <c r="Q229" s="71">
        <f t="shared" ref="Q229:Q232" si="653">+P229+O229+N229</f>
        <v>0</v>
      </c>
      <c r="R229" s="71">
        <f t="shared" ref="R229:R234" si="654">+Q229+M229</f>
        <v>3551.7799999999997</v>
      </c>
      <c r="S229" s="71">
        <v>7200</v>
      </c>
      <c r="T229" s="92"/>
      <c r="U229" s="92"/>
      <c r="V229" s="70">
        <f t="shared" ref="V229:V234" si="655">ROUND(H229*1.0583,2)</f>
        <v>2973.78</v>
      </c>
      <c r="W229" s="70">
        <f t="shared" ref="W229:W234" si="656">ROUND(I229*1.0327,2)</f>
        <v>6898.64</v>
      </c>
      <c r="X229" s="70">
        <f t="shared" si="529"/>
        <v>577.99999999999955</v>
      </c>
      <c r="Y229" s="70">
        <f t="shared" si="529"/>
        <v>301.35999999999967</v>
      </c>
      <c r="Z229" s="70">
        <v>2973.78</v>
      </c>
      <c r="AA229" s="70"/>
      <c r="AB229" s="70">
        <f t="shared" si="547"/>
        <v>2973.78</v>
      </c>
      <c r="AC229" s="43">
        <f t="shared" si="548"/>
        <v>0</v>
      </c>
      <c r="AD229" s="70">
        <f t="shared" ref="AD229:AE234" si="657">IF(X229&gt;0,V229,R229)</f>
        <v>2973.78</v>
      </c>
      <c r="AE229" s="70">
        <f t="shared" si="657"/>
        <v>6898.64</v>
      </c>
      <c r="AF229" s="70">
        <f t="shared" si="570"/>
        <v>6495.84</v>
      </c>
      <c r="AG229" s="43">
        <f t="shared" si="530"/>
        <v>743</v>
      </c>
      <c r="AH229" s="43">
        <f t="shared" si="530"/>
        <v>1725</v>
      </c>
      <c r="AI229" s="93">
        <f t="shared" si="531"/>
        <v>248</v>
      </c>
      <c r="AJ229" s="43">
        <f t="shared" si="531"/>
        <v>575</v>
      </c>
      <c r="AK229" s="43"/>
      <c r="AL229" s="43"/>
      <c r="AM229" s="43">
        <f t="shared" si="571"/>
        <v>743.45</v>
      </c>
      <c r="AN229" s="43">
        <f t="shared" si="572"/>
        <v>1679.82</v>
      </c>
      <c r="AO229" s="43"/>
      <c r="AP229" s="43"/>
      <c r="AQ229" s="43">
        <f t="shared" si="532"/>
        <v>1486.45</v>
      </c>
      <c r="AR229" s="43">
        <f t="shared" si="532"/>
        <v>3404.8199999999997</v>
      </c>
      <c r="AS229" s="43"/>
      <c r="AT229" s="43"/>
      <c r="AU229" s="43">
        <f t="shared" si="623"/>
        <v>743.45</v>
      </c>
      <c r="AV229" s="43">
        <f>ROUND(AE229*25%,2)</f>
        <v>1724.66</v>
      </c>
      <c r="AW229" s="43"/>
      <c r="AX229" s="43">
        <f>277.24+330</f>
        <v>607.24</v>
      </c>
      <c r="AY229" s="43">
        <f t="shared" si="520"/>
        <v>2477.9</v>
      </c>
      <c r="AZ229" s="43">
        <f t="shared" si="520"/>
        <v>6311.7199999999993</v>
      </c>
      <c r="BA229" s="43">
        <f t="shared" si="521"/>
        <v>8789.619999999999</v>
      </c>
      <c r="BB229" s="121">
        <v>2449.81</v>
      </c>
      <c r="BC229" s="60">
        <v>6167.91</v>
      </c>
      <c r="BD229" s="60">
        <f t="shared" si="522"/>
        <v>28.090000000000146</v>
      </c>
      <c r="BE229" s="60">
        <f t="shared" si="522"/>
        <v>143.80999999999949</v>
      </c>
      <c r="BF229" s="60">
        <f t="shared" si="523"/>
        <v>489.96</v>
      </c>
      <c r="BG229" s="60">
        <f t="shared" si="523"/>
        <v>1233.58</v>
      </c>
      <c r="BH229" s="43">
        <v>230.94</v>
      </c>
      <c r="BI229" s="43">
        <v>475</v>
      </c>
      <c r="BJ229" s="43">
        <v>16.18</v>
      </c>
      <c r="BK229" s="43">
        <v>100</v>
      </c>
      <c r="BL229" s="43">
        <f t="shared" si="545"/>
        <v>2725.02</v>
      </c>
      <c r="BM229" s="43">
        <f t="shared" si="545"/>
        <v>6886.7199999999993</v>
      </c>
      <c r="BN229" s="43">
        <f t="shared" si="573"/>
        <v>9611.74</v>
      </c>
      <c r="BO229" s="43">
        <v>2698.52</v>
      </c>
      <c r="BP229" s="93">
        <v>6896.34</v>
      </c>
      <c r="BQ229" s="43">
        <f t="shared" si="549"/>
        <v>26.5</v>
      </c>
      <c r="BR229" s="43">
        <f t="shared" si="549"/>
        <v>-9.6200000000008004</v>
      </c>
      <c r="BS229" s="43">
        <f t="shared" si="550"/>
        <v>245.32</v>
      </c>
      <c r="BT229" s="43">
        <f t="shared" si="550"/>
        <v>626.94000000000005</v>
      </c>
      <c r="BU229" s="43">
        <v>256</v>
      </c>
      <c r="BV229" s="43">
        <v>600</v>
      </c>
      <c r="BW229" s="43"/>
      <c r="BX229" s="43"/>
      <c r="BY229" s="43"/>
      <c r="BZ229" s="43"/>
      <c r="CA229" s="43">
        <v>2981.02</v>
      </c>
      <c r="CB229" s="43">
        <v>7486.7199999999993</v>
      </c>
      <c r="CC229" s="92">
        <v>3279.12</v>
      </c>
      <c r="CD229" s="92">
        <v>8609.73</v>
      </c>
      <c r="CE229" s="92">
        <v>273</v>
      </c>
      <c r="CF229" s="92">
        <v>717</v>
      </c>
      <c r="CG229" s="92">
        <f t="shared" si="551"/>
        <v>745.26</v>
      </c>
      <c r="CH229" s="92">
        <f t="shared" si="551"/>
        <v>1871.68</v>
      </c>
      <c r="CI229" s="43"/>
      <c r="CJ229" s="43"/>
      <c r="CK229" s="43">
        <v>807</v>
      </c>
      <c r="CL229" s="72">
        <f>2464-200-64-20</f>
        <v>2180</v>
      </c>
      <c r="CM229" s="72"/>
      <c r="CN229" s="72"/>
      <c r="CO229" s="43">
        <v>3020</v>
      </c>
      <c r="CP229" s="43">
        <v>7500</v>
      </c>
      <c r="CQ229" s="43">
        <f t="shared" si="552"/>
        <v>3228</v>
      </c>
      <c r="CR229" s="43">
        <f t="shared" si="552"/>
        <v>8720</v>
      </c>
      <c r="CS229" s="43">
        <f t="shared" si="553"/>
        <v>3020</v>
      </c>
      <c r="CT229" s="43">
        <f t="shared" si="553"/>
        <v>7500</v>
      </c>
      <c r="CU229" s="43">
        <v>3260</v>
      </c>
      <c r="CV229" s="43">
        <v>8850</v>
      </c>
      <c r="CW229" s="43">
        <f t="shared" si="554"/>
        <v>815</v>
      </c>
      <c r="CX229" s="43">
        <f t="shared" si="554"/>
        <v>2212.5</v>
      </c>
      <c r="CY229" s="43"/>
      <c r="CZ229" s="43"/>
      <c r="DA229" s="43">
        <f t="shared" si="555"/>
        <v>1895</v>
      </c>
      <c r="DB229" s="43">
        <f t="shared" si="555"/>
        <v>5109.5</v>
      </c>
      <c r="DC229" s="43">
        <v>1783.72</v>
      </c>
      <c r="DD229" s="43">
        <v>5039.8900000000003</v>
      </c>
      <c r="DE229" s="43">
        <f t="shared" si="556"/>
        <v>111.27999999999997</v>
      </c>
      <c r="DF229" s="43">
        <f t="shared" si="556"/>
        <v>69.609999999999673</v>
      </c>
      <c r="DG229" s="43">
        <f t="shared" ref="DG229:DH234" si="658">ROUND(0.25*(MIN(CU229,EW229)),2)</f>
        <v>815</v>
      </c>
      <c r="DH229" s="43">
        <f t="shared" si="658"/>
        <v>2212.5</v>
      </c>
      <c r="DI229" s="43">
        <f t="shared" ref="DI229:DJ234" si="659">+DG229-DE229</f>
        <v>703.72</v>
      </c>
      <c r="DJ229" s="43">
        <f t="shared" si="659"/>
        <v>2142.8900000000003</v>
      </c>
      <c r="DK229" s="43"/>
      <c r="DL229" s="43"/>
      <c r="DM229" s="43">
        <f t="shared" si="558"/>
        <v>2598.7200000000003</v>
      </c>
      <c r="DN229" s="43">
        <f t="shared" si="558"/>
        <v>7252.39</v>
      </c>
      <c r="DO229" s="94">
        <v>2588.13</v>
      </c>
      <c r="DP229" s="103">
        <v>7182.02</v>
      </c>
      <c r="DQ229" s="60">
        <f t="shared" si="559"/>
        <v>10.59</v>
      </c>
      <c r="DR229" s="60">
        <f t="shared" si="559"/>
        <v>70.37</v>
      </c>
      <c r="DS229" s="60">
        <f t="shared" si="560"/>
        <v>258.81299999999999</v>
      </c>
      <c r="DT229" s="60">
        <f t="shared" si="560"/>
        <v>718.202</v>
      </c>
      <c r="DU229" s="60">
        <f t="shared" si="561"/>
        <v>248.22299999999998</v>
      </c>
      <c r="DV229" s="60">
        <f t="shared" si="561"/>
        <v>647.83199999999999</v>
      </c>
      <c r="DW229" s="60"/>
      <c r="DX229" s="60"/>
      <c r="DY229" s="60">
        <f t="shared" si="569"/>
        <v>248.22</v>
      </c>
      <c r="DZ229" s="60">
        <f t="shared" si="569"/>
        <v>647.83000000000004</v>
      </c>
      <c r="EA229" s="60">
        <v>60</v>
      </c>
      <c r="EB229" s="60">
        <v>150</v>
      </c>
      <c r="EC229" s="43">
        <f t="shared" si="562"/>
        <v>2906.94</v>
      </c>
      <c r="ED229" s="43">
        <f t="shared" si="562"/>
        <v>8050.22</v>
      </c>
      <c r="EE229" s="43">
        <v>2841.65</v>
      </c>
      <c r="EF229" s="43">
        <v>7995.46</v>
      </c>
      <c r="EG229" s="43">
        <f t="shared" si="607"/>
        <v>97.75</v>
      </c>
      <c r="EH229" s="43">
        <f t="shared" si="607"/>
        <v>99.32</v>
      </c>
      <c r="EI229" s="43">
        <f t="shared" si="563"/>
        <v>65.290000000000006</v>
      </c>
      <c r="EJ229" s="43">
        <f t="shared" si="563"/>
        <v>54.76</v>
      </c>
      <c r="EK229" s="43">
        <f t="shared" si="564"/>
        <v>258.33</v>
      </c>
      <c r="EL229" s="43">
        <f t="shared" si="564"/>
        <v>726.86</v>
      </c>
      <c r="EM229" s="43">
        <f t="shared" si="565"/>
        <v>193.03999999999996</v>
      </c>
      <c r="EN229" s="43">
        <f t="shared" si="565"/>
        <v>672.1</v>
      </c>
      <c r="EO229" s="43">
        <v>235</v>
      </c>
      <c r="EP229" s="43">
        <v>600</v>
      </c>
      <c r="EQ229" s="5" t="s">
        <v>481</v>
      </c>
      <c r="ER229" s="5"/>
      <c r="ES229" s="5"/>
      <c r="ET229" s="5"/>
      <c r="EU229" s="5">
        <f t="shared" si="642"/>
        <v>118.05999999999995</v>
      </c>
      <c r="EV229" s="5">
        <f t="shared" si="642"/>
        <v>199.77999999999975</v>
      </c>
      <c r="EW229" s="5">
        <v>3260</v>
      </c>
      <c r="EX229" s="5">
        <v>8850</v>
      </c>
      <c r="EY229" s="5">
        <v>3350</v>
      </c>
      <c r="EZ229" s="5">
        <v>10600</v>
      </c>
    </row>
    <row r="230" spans="1:159" ht="18.75" x14ac:dyDescent="0.25">
      <c r="A230" s="68">
        <v>4</v>
      </c>
      <c r="B230" s="68" t="s">
        <v>482</v>
      </c>
      <c r="C230" s="91" t="s">
        <v>112</v>
      </c>
      <c r="D230" s="67" t="s">
        <v>483</v>
      </c>
      <c r="E230" s="69" t="s">
        <v>484</v>
      </c>
      <c r="F230" s="40">
        <v>2675.9799999999996</v>
      </c>
      <c r="G230" s="40">
        <v>312.67999999999995</v>
      </c>
      <c r="H230" s="40">
        <v>2675.9799999999996</v>
      </c>
      <c r="I230" s="70">
        <v>312.67999999999995</v>
      </c>
      <c r="J230" s="71">
        <v>2990.7</v>
      </c>
      <c r="K230" s="71">
        <v>0</v>
      </c>
      <c r="L230" s="71">
        <v>0.3</v>
      </c>
      <c r="M230" s="71">
        <f t="shared" si="652"/>
        <v>2991</v>
      </c>
      <c r="N230" s="71">
        <v>0</v>
      </c>
      <c r="O230" s="71">
        <v>0</v>
      </c>
      <c r="P230" s="71">
        <v>0</v>
      </c>
      <c r="Q230" s="71">
        <f t="shared" si="653"/>
        <v>0</v>
      </c>
      <c r="R230" s="71">
        <f t="shared" si="654"/>
        <v>2991</v>
      </c>
      <c r="S230" s="71">
        <v>220</v>
      </c>
      <c r="T230" s="92"/>
      <c r="U230" s="92"/>
      <c r="V230" s="70">
        <f t="shared" si="655"/>
        <v>2831.99</v>
      </c>
      <c r="W230" s="70">
        <f t="shared" si="656"/>
        <v>322.89999999999998</v>
      </c>
      <c r="X230" s="70">
        <f t="shared" si="529"/>
        <v>159.01000000000022</v>
      </c>
      <c r="Y230" s="70">
        <f t="shared" si="529"/>
        <v>-102.89999999999998</v>
      </c>
      <c r="Z230" s="70">
        <v>2831.99</v>
      </c>
      <c r="AA230" s="70"/>
      <c r="AB230" s="70">
        <f t="shared" si="547"/>
        <v>2831.99</v>
      </c>
      <c r="AC230" s="43">
        <f t="shared" si="548"/>
        <v>0</v>
      </c>
      <c r="AD230" s="70">
        <f t="shared" si="657"/>
        <v>2831.99</v>
      </c>
      <c r="AE230" s="70">
        <f t="shared" si="657"/>
        <v>220</v>
      </c>
      <c r="AF230" s="70">
        <f t="shared" si="570"/>
        <v>198.48</v>
      </c>
      <c r="AG230" s="43">
        <f t="shared" si="530"/>
        <v>708</v>
      </c>
      <c r="AH230" s="43">
        <f t="shared" si="530"/>
        <v>55</v>
      </c>
      <c r="AI230" s="93">
        <f t="shared" si="531"/>
        <v>236</v>
      </c>
      <c r="AJ230" s="43">
        <f t="shared" si="531"/>
        <v>18</v>
      </c>
      <c r="AK230" s="43"/>
      <c r="AL230" s="43"/>
      <c r="AM230" s="43">
        <f t="shared" si="571"/>
        <v>708</v>
      </c>
      <c r="AN230" s="43">
        <f t="shared" si="572"/>
        <v>53.57</v>
      </c>
      <c r="AO230" s="43"/>
      <c r="AP230" s="43"/>
      <c r="AQ230" s="43">
        <f t="shared" si="532"/>
        <v>1416</v>
      </c>
      <c r="AR230" s="43">
        <f t="shared" si="532"/>
        <v>108.57</v>
      </c>
      <c r="AS230" s="43"/>
      <c r="AT230" s="43"/>
      <c r="AU230" s="43">
        <f t="shared" si="623"/>
        <v>708</v>
      </c>
      <c r="AV230" s="43">
        <f t="shared" si="623"/>
        <v>55</v>
      </c>
      <c r="AW230" s="43">
        <v>90</v>
      </c>
      <c r="AX230" s="43"/>
      <c r="AY230" s="43">
        <f t="shared" si="520"/>
        <v>2450</v>
      </c>
      <c r="AZ230" s="43">
        <f t="shared" si="520"/>
        <v>181.57</v>
      </c>
      <c r="BA230" s="43">
        <f t="shared" si="521"/>
        <v>2631.57</v>
      </c>
      <c r="BB230" s="121">
        <v>2402.94</v>
      </c>
      <c r="BC230" s="60">
        <v>69.319999999999993</v>
      </c>
      <c r="BD230" s="60">
        <f t="shared" si="522"/>
        <v>47.059999999999945</v>
      </c>
      <c r="BE230" s="60">
        <f t="shared" si="522"/>
        <v>112.25</v>
      </c>
      <c r="BF230" s="60">
        <f t="shared" si="523"/>
        <v>480.59</v>
      </c>
      <c r="BG230" s="60">
        <f t="shared" si="523"/>
        <v>13.86</v>
      </c>
      <c r="BH230" s="43">
        <v>247.5</v>
      </c>
      <c r="BI230" s="43">
        <v>0</v>
      </c>
      <c r="BJ230" s="43"/>
      <c r="BK230" s="43"/>
      <c r="BL230" s="43">
        <f t="shared" si="545"/>
        <v>2697.5</v>
      </c>
      <c r="BM230" s="43">
        <f t="shared" si="545"/>
        <v>181.57</v>
      </c>
      <c r="BN230" s="43">
        <f t="shared" si="573"/>
        <v>2879.07</v>
      </c>
      <c r="BO230" s="43">
        <v>2690.44</v>
      </c>
      <c r="BP230" s="93">
        <v>75.45</v>
      </c>
      <c r="BQ230" s="43">
        <f t="shared" si="549"/>
        <v>7.0599999999999454</v>
      </c>
      <c r="BR230" s="43">
        <f t="shared" si="549"/>
        <v>106.11999999999999</v>
      </c>
      <c r="BS230" s="43">
        <f t="shared" si="550"/>
        <v>244.59</v>
      </c>
      <c r="BT230" s="43">
        <f t="shared" si="550"/>
        <v>6.86</v>
      </c>
      <c r="BU230" s="43">
        <v>257</v>
      </c>
      <c r="BV230" s="43">
        <v>0</v>
      </c>
      <c r="BW230" s="43"/>
      <c r="BX230" s="43"/>
      <c r="BY230" s="43"/>
      <c r="BZ230" s="43"/>
      <c r="CA230" s="43">
        <v>2954.5</v>
      </c>
      <c r="CB230" s="43">
        <v>181.57</v>
      </c>
      <c r="CC230" s="92">
        <v>3249.95</v>
      </c>
      <c r="CD230" s="92">
        <v>208.81</v>
      </c>
      <c r="CE230" s="92">
        <v>271</v>
      </c>
      <c r="CF230" s="92">
        <v>17</v>
      </c>
      <c r="CG230" s="92">
        <f t="shared" si="551"/>
        <v>738.63</v>
      </c>
      <c r="CH230" s="92">
        <f t="shared" si="551"/>
        <v>45.39</v>
      </c>
      <c r="CI230" s="43"/>
      <c r="CJ230" s="43"/>
      <c r="CK230" s="43">
        <v>850</v>
      </c>
      <c r="CL230" s="72">
        <f>158-58</f>
        <v>100</v>
      </c>
      <c r="CM230" s="72"/>
      <c r="CN230" s="72">
        <v>120</v>
      </c>
      <c r="CO230" s="43">
        <v>3250</v>
      </c>
      <c r="CP230" s="43">
        <v>340</v>
      </c>
      <c r="CQ230" s="43">
        <f t="shared" si="552"/>
        <v>3400</v>
      </c>
      <c r="CR230" s="43">
        <f t="shared" si="552"/>
        <v>400</v>
      </c>
      <c r="CS230" s="43">
        <f t="shared" si="553"/>
        <v>3250</v>
      </c>
      <c r="CT230" s="43">
        <f t="shared" si="553"/>
        <v>340</v>
      </c>
      <c r="CU230" s="43">
        <v>3390</v>
      </c>
      <c r="CV230" s="43">
        <v>575</v>
      </c>
      <c r="CW230" s="43">
        <f t="shared" si="554"/>
        <v>847.5</v>
      </c>
      <c r="CX230" s="43">
        <f>ROUND(CV230*25%,2)-10</f>
        <v>133.75</v>
      </c>
      <c r="CY230" s="43"/>
      <c r="CZ230" s="43"/>
      <c r="DA230" s="43">
        <f t="shared" si="555"/>
        <v>1968.5</v>
      </c>
      <c r="DB230" s="43">
        <f t="shared" si="555"/>
        <v>370.75</v>
      </c>
      <c r="DC230" s="43">
        <v>1820.65</v>
      </c>
      <c r="DD230" s="43">
        <v>252.43</v>
      </c>
      <c r="DE230" s="43">
        <f t="shared" si="556"/>
        <v>147.84999999999991</v>
      </c>
      <c r="DF230" s="43">
        <f t="shared" si="556"/>
        <v>118.32</v>
      </c>
      <c r="DG230" s="43">
        <f t="shared" si="658"/>
        <v>795</v>
      </c>
      <c r="DH230" s="43">
        <f t="shared" si="658"/>
        <v>135</v>
      </c>
      <c r="DI230" s="43">
        <f t="shared" si="659"/>
        <v>647.15000000000009</v>
      </c>
      <c r="DJ230" s="43">
        <f t="shared" si="659"/>
        <v>16.680000000000007</v>
      </c>
      <c r="DK230" s="43"/>
      <c r="DL230" s="43"/>
      <c r="DM230" s="43">
        <f t="shared" si="558"/>
        <v>2615.65</v>
      </c>
      <c r="DN230" s="43">
        <f t="shared" si="558"/>
        <v>387.43</v>
      </c>
      <c r="DO230" s="94">
        <v>2594.9899999999998</v>
      </c>
      <c r="DP230" s="103">
        <v>314.12</v>
      </c>
      <c r="DQ230" s="60">
        <f t="shared" si="559"/>
        <v>20.66</v>
      </c>
      <c r="DR230" s="60">
        <f t="shared" si="559"/>
        <v>73.31</v>
      </c>
      <c r="DS230" s="60">
        <f t="shared" si="560"/>
        <v>259.49899999999997</v>
      </c>
      <c r="DT230" s="60">
        <f t="shared" si="560"/>
        <v>31.411999999999999</v>
      </c>
      <c r="DU230" s="60">
        <f t="shared" si="561"/>
        <v>238.83899999999997</v>
      </c>
      <c r="DV230" s="60">
        <f t="shared" si="561"/>
        <v>-41.898000000000003</v>
      </c>
      <c r="DW230" s="60"/>
      <c r="DX230" s="60"/>
      <c r="DY230" s="60">
        <f t="shared" si="569"/>
        <v>238.84</v>
      </c>
      <c r="DZ230" s="60">
        <v>0</v>
      </c>
      <c r="EA230" s="60">
        <v>17.649999999999999</v>
      </c>
      <c r="EB230" s="60">
        <v>119.25</v>
      </c>
      <c r="EC230" s="43">
        <f t="shared" si="562"/>
        <v>2872.1400000000003</v>
      </c>
      <c r="ED230" s="43">
        <f t="shared" si="562"/>
        <v>506.68</v>
      </c>
      <c r="EE230" s="43">
        <v>2858.54</v>
      </c>
      <c r="EF230" s="43">
        <v>407.85</v>
      </c>
      <c r="EG230" s="43">
        <f t="shared" si="607"/>
        <v>99.53</v>
      </c>
      <c r="EH230" s="43">
        <f t="shared" si="607"/>
        <v>80.489999999999995</v>
      </c>
      <c r="EI230" s="43">
        <f t="shared" si="563"/>
        <v>13.6</v>
      </c>
      <c r="EJ230" s="43">
        <f t="shared" si="563"/>
        <v>98.83</v>
      </c>
      <c r="EK230" s="43">
        <f t="shared" si="564"/>
        <v>259.87</v>
      </c>
      <c r="EL230" s="43">
        <f t="shared" si="564"/>
        <v>37.08</v>
      </c>
      <c r="EM230" s="43">
        <f t="shared" si="565"/>
        <v>246.27</v>
      </c>
      <c r="EN230" s="43">
        <f t="shared" si="565"/>
        <v>-61.75</v>
      </c>
      <c r="EO230" s="43">
        <v>260</v>
      </c>
      <c r="EP230" s="43">
        <v>27.47</v>
      </c>
      <c r="EQ230" s="5"/>
      <c r="ER230" s="5"/>
      <c r="ES230" s="5"/>
      <c r="ET230" s="5"/>
      <c r="EU230" s="5">
        <f t="shared" si="642"/>
        <v>47.859999999999673</v>
      </c>
      <c r="EV230" s="5">
        <f t="shared" si="642"/>
        <v>5.8499999999999943</v>
      </c>
      <c r="EW230" s="5">
        <v>3180</v>
      </c>
      <c r="EX230" s="5">
        <v>540</v>
      </c>
      <c r="EY230" s="5">
        <v>3450</v>
      </c>
      <c r="EZ230" s="5">
        <v>525</v>
      </c>
    </row>
    <row r="231" spans="1:159" ht="18.75" x14ac:dyDescent="0.25">
      <c r="A231" s="68">
        <v>5</v>
      </c>
      <c r="B231" s="68" t="s">
        <v>485</v>
      </c>
      <c r="C231" s="91" t="s">
        <v>102</v>
      </c>
      <c r="D231" s="67" t="s">
        <v>486</v>
      </c>
      <c r="E231" s="69" t="s">
        <v>487</v>
      </c>
      <c r="F231" s="40">
        <v>3249.6799999999994</v>
      </c>
      <c r="G231" s="40">
        <v>2530.94</v>
      </c>
      <c r="H231" s="40">
        <v>3249.6799999999994</v>
      </c>
      <c r="I231" s="70">
        <v>2530.94</v>
      </c>
      <c r="J231" s="71">
        <v>4021.31</v>
      </c>
      <c r="K231" s="71">
        <v>0</v>
      </c>
      <c r="L231" s="71">
        <v>0.69</v>
      </c>
      <c r="M231" s="71">
        <f t="shared" si="652"/>
        <v>4022</v>
      </c>
      <c r="N231" s="71">
        <v>0</v>
      </c>
      <c r="O231" s="71">
        <v>0</v>
      </c>
      <c r="P231" s="71">
        <v>0</v>
      </c>
      <c r="Q231" s="71">
        <f t="shared" si="653"/>
        <v>0</v>
      </c>
      <c r="R231" s="71">
        <f t="shared" si="654"/>
        <v>4022</v>
      </c>
      <c r="S231" s="71">
        <v>3335</v>
      </c>
      <c r="T231" s="92"/>
      <c r="U231" s="92"/>
      <c r="V231" s="70">
        <f t="shared" si="655"/>
        <v>3439.14</v>
      </c>
      <c r="W231" s="70">
        <f t="shared" si="656"/>
        <v>2613.6999999999998</v>
      </c>
      <c r="X231" s="70">
        <f t="shared" si="529"/>
        <v>582.86000000000013</v>
      </c>
      <c r="Y231" s="70">
        <f t="shared" si="529"/>
        <v>721.30000000000018</v>
      </c>
      <c r="Z231" s="70">
        <v>3439.14</v>
      </c>
      <c r="AA231" s="70"/>
      <c r="AB231" s="70">
        <f t="shared" si="547"/>
        <v>3439.14</v>
      </c>
      <c r="AC231" s="43">
        <f t="shared" si="548"/>
        <v>0</v>
      </c>
      <c r="AD231" s="70">
        <f t="shared" si="657"/>
        <v>3439.14</v>
      </c>
      <c r="AE231" s="70">
        <f t="shared" si="657"/>
        <v>2613.6999999999998</v>
      </c>
      <c r="AF231" s="70">
        <f t="shared" si="570"/>
        <v>3008.84</v>
      </c>
      <c r="AG231" s="43">
        <f t="shared" si="530"/>
        <v>860</v>
      </c>
      <c r="AH231" s="43">
        <f t="shared" si="530"/>
        <v>653</v>
      </c>
      <c r="AI231" s="93">
        <f t="shared" si="531"/>
        <v>287</v>
      </c>
      <c r="AJ231" s="43">
        <f t="shared" si="531"/>
        <v>218</v>
      </c>
      <c r="AK231" s="43"/>
      <c r="AL231" s="43">
        <v>175</v>
      </c>
      <c r="AM231" s="43">
        <f t="shared" si="571"/>
        <v>859.79</v>
      </c>
      <c r="AN231" s="43">
        <f t="shared" si="572"/>
        <v>636.44000000000005</v>
      </c>
      <c r="AO231" s="43"/>
      <c r="AP231" s="43"/>
      <c r="AQ231" s="43">
        <f t="shared" si="532"/>
        <v>1719.79</v>
      </c>
      <c r="AR231" s="43">
        <f t="shared" si="532"/>
        <v>1464.44</v>
      </c>
      <c r="AS231" s="43"/>
      <c r="AT231" s="43"/>
      <c r="AU231" s="43">
        <f t="shared" si="623"/>
        <v>859.79</v>
      </c>
      <c r="AV231" s="43">
        <f>ROUND(AE231*25%,2)+396.57</f>
        <v>1050</v>
      </c>
      <c r="AW231" s="43"/>
      <c r="AX231" s="43"/>
      <c r="AY231" s="43">
        <f t="shared" si="520"/>
        <v>2866.58</v>
      </c>
      <c r="AZ231" s="43">
        <f t="shared" si="520"/>
        <v>2732.44</v>
      </c>
      <c r="BA231" s="43">
        <f t="shared" si="521"/>
        <v>5599.02</v>
      </c>
      <c r="BB231" s="121">
        <v>2774.17</v>
      </c>
      <c r="BC231" s="60">
        <v>2672.26</v>
      </c>
      <c r="BD231" s="60">
        <f t="shared" si="522"/>
        <v>92.409999999999854</v>
      </c>
      <c r="BE231" s="60">
        <f t="shared" si="522"/>
        <v>60.179999999999836</v>
      </c>
      <c r="BF231" s="60">
        <f t="shared" si="523"/>
        <v>554.83000000000004</v>
      </c>
      <c r="BG231" s="60">
        <f t="shared" si="523"/>
        <v>534.45000000000005</v>
      </c>
      <c r="BH231" s="43">
        <v>231.21</v>
      </c>
      <c r="BI231" s="43">
        <v>232.14</v>
      </c>
      <c r="BJ231" s="43"/>
      <c r="BK231" s="43">
        <v>100</v>
      </c>
      <c r="BL231" s="43">
        <f t="shared" si="545"/>
        <v>3097.79</v>
      </c>
      <c r="BM231" s="43">
        <f t="shared" si="545"/>
        <v>3064.58</v>
      </c>
      <c r="BN231" s="43">
        <f t="shared" si="573"/>
        <v>6162.37</v>
      </c>
      <c r="BO231" s="43">
        <v>3065.97</v>
      </c>
      <c r="BP231" s="93">
        <v>2960.83</v>
      </c>
      <c r="BQ231" s="43">
        <f t="shared" si="549"/>
        <v>31.820000000000164</v>
      </c>
      <c r="BR231" s="43">
        <f t="shared" si="549"/>
        <v>103.75</v>
      </c>
      <c r="BS231" s="43">
        <f t="shared" si="550"/>
        <v>278.72000000000003</v>
      </c>
      <c r="BT231" s="43">
        <f t="shared" si="550"/>
        <v>269.17</v>
      </c>
      <c r="BU231" s="43">
        <v>275.20999999999998</v>
      </c>
      <c r="BV231" s="43">
        <v>250</v>
      </c>
      <c r="BW231" s="43"/>
      <c r="BX231" s="43">
        <v>35.42</v>
      </c>
      <c r="BY231" s="43"/>
      <c r="BZ231" s="43"/>
      <c r="CA231" s="43">
        <v>3373</v>
      </c>
      <c r="CB231" s="43">
        <v>3350</v>
      </c>
      <c r="CC231" s="92">
        <v>3710.3</v>
      </c>
      <c r="CD231" s="92">
        <v>3852.5</v>
      </c>
      <c r="CE231" s="92">
        <v>309</v>
      </c>
      <c r="CF231" s="92">
        <v>321</v>
      </c>
      <c r="CG231" s="92">
        <f t="shared" si="551"/>
        <v>843.25</v>
      </c>
      <c r="CH231" s="92">
        <f t="shared" si="551"/>
        <v>837.5</v>
      </c>
      <c r="CI231" s="43"/>
      <c r="CJ231" s="43"/>
      <c r="CK231" s="72">
        <f>950</f>
        <v>950</v>
      </c>
      <c r="CL231" s="72">
        <f>1050-200</f>
        <v>850</v>
      </c>
      <c r="CM231" s="72"/>
      <c r="CN231" s="72">
        <f>21.55+193.45</f>
        <v>215</v>
      </c>
      <c r="CO231" s="43">
        <v>3954.92</v>
      </c>
      <c r="CP231" s="43">
        <v>3695</v>
      </c>
      <c r="CQ231" s="43">
        <f t="shared" si="552"/>
        <v>3800</v>
      </c>
      <c r="CR231" s="43">
        <f t="shared" si="552"/>
        <v>3400</v>
      </c>
      <c r="CS231" s="43">
        <f t="shared" si="553"/>
        <v>3800</v>
      </c>
      <c r="CT231" s="43">
        <f t="shared" si="553"/>
        <v>3400</v>
      </c>
      <c r="CU231" s="43">
        <f t="shared" si="553"/>
        <v>3800</v>
      </c>
      <c r="CV231" s="43">
        <f t="shared" si="553"/>
        <v>3400</v>
      </c>
      <c r="CW231" s="43">
        <f t="shared" si="554"/>
        <v>950</v>
      </c>
      <c r="CX231" s="43">
        <f t="shared" si="554"/>
        <v>850</v>
      </c>
      <c r="CY231" s="43"/>
      <c r="CZ231" s="43"/>
      <c r="DA231" s="43">
        <f t="shared" si="555"/>
        <v>2209</v>
      </c>
      <c r="DB231" s="43">
        <f t="shared" si="555"/>
        <v>2236</v>
      </c>
      <c r="DC231" s="43">
        <v>2046.54</v>
      </c>
      <c r="DD231" s="43">
        <v>2139.15</v>
      </c>
      <c r="DE231" s="43">
        <f t="shared" si="556"/>
        <v>162.46000000000004</v>
      </c>
      <c r="DF231" s="43">
        <f t="shared" si="556"/>
        <v>96.849999999999909</v>
      </c>
      <c r="DG231" s="43">
        <f t="shared" si="658"/>
        <v>875</v>
      </c>
      <c r="DH231" s="43">
        <f t="shared" si="658"/>
        <v>850</v>
      </c>
      <c r="DI231" s="43">
        <f t="shared" si="659"/>
        <v>712.54</v>
      </c>
      <c r="DJ231" s="43">
        <f t="shared" si="659"/>
        <v>753.15000000000009</v>
      </c>
      <c r="DK231" s="43">
        <v>50</v>
      </c>
      <c r="DL231" s="43">
        <v>100</v>
      </c>
      <c r="DM231" s="43">
        <f t="shared" si="558"/>
        <v>2971.54</v>
      </c>
      <c r="DN231" s="43">
        <f t="shared" si="558"/>
        <v>3089.15</v>
      </c>
      <c r="DO231" s="94">
        <v>2937.01</v>
      </c>
      <c r="DP231" s="113">
        <v>3034.37</v>
      </c>
      <c r="DQ231" s="60">
        <f t="shared" si="559"/>
        <v>34.53</v>
      </c>
      <c r="DR231" s="60">
        <f t="shared" si="559"/>
        <v>54.78</v>
      </c>
      <c r="DS231" s="60">
        <f t="shared" si="560"/>
        <v>293.70100000000002</v>
      </c>
      <c r="DT231" s="60">
        <f t="shared" si="560"/>
        <v>303.43700000000001</v>
      </c>
      <c r="DU231" s="60">
        <f t="shared" si="561"/>
        <v>259.17100000000005</v>
      </c>
      <c r="DV231" s="60">
        <f t="shared" si="561"/>
        <v>248.65700000000001</v>
      </c>
      <c r="DW231" s="60"/>
      <c r="DX231" s="60">
        <v>100</v>
      </c>
      <c r="DY231" s="60">
        <f t="shared" si="569"/>
        <v>259.17</v>
      </c>
      <c r="DZ231" s="60">
        <f>ROUND(DV231+DX231,2)-100</f>
        <v>248.66000000000003</v>
      </c>
      <c r="EA231" s="60">
        <v>25</v>
      </c>
      <c r="EB231" s="60">
        <v>150</v>
      </c>
      <c r="EC231" s="43">
        <f t="shared" si="562"/>
        <v>3255.71</v>
      </c>
      <c r="ED231" s="43">
        <f t="shared" si="562"/>
        <v>3487.81</v>
      </c>
      <c r="EE231" s="43">
        <v>3223.2</v>
      </c>
      <c r="EF231" s="43">
        <v>3354.4</v>
      </c>
      <c r="EG231" s="43">
        <f t="shared" si="607"/>
        <v>99</v>
      </c>
      <c r="EH231" s="43">
        <f t="shared" si="607"/>
        <v>96.17</v>
      </c>
      <c r="EI231" s="43">
        <f t="shared" si="563"/>
        <v>32.51</v>
      </c>
      <c r="EJ231" s="43">
        <f t="shared" si="563"/>
        <v>133.41</v>
      </c>
      <c r="EK231" s="43">
        <f t="shared" si="564"/>
        <v>293.02</v>
      </c>
      <c r="EL231" s="43">
        <f t="shared" si="564"/>
        <v>304.95</v>
      </c>
      <c r="EM231" s="43">
        <f t="shared" si="565"/>
        <v>260.51</v>
      </c>
      <c r="EN231" s="43">
        <f t="shared" si="565"/>
        <v>171.54</v>
      </c>
      <c r="EO231" s="43">
        <v>278</v>
      </c>
      <c r="EP231" s="43">
        <v>200</v>
      </c>
      <c r="EQ231" s="5"/>
      <c r="ER231" s="5"/>
      <c r="ES231" s="5"/>
      <c r="ET231" s="5"/>
      <c r="EU231" s="5">
        <f t="shared" si="642"/>
        <v>-33.710000000000036</v>
      </c>
      <c r="EV231" s="5">
        <f t="shared" si="642"/>
        <v>112.19000000000005</v>
      </c>
      <c r="EW231" s="5">
        <v>3500</v>
      </c>
      <c r="EX231" s="5">
        <v>3800</v>
      </c>
      <c r="EY231" s="5">
        <v>3800</v>
      </c>
      <c r="EZ231" s="5">
        <v>3800</v>
      </c>
    </row>
    <row r="232" spans="1:159" ht="18.75" x14ac:dyDescent="0.25">
      <c r="A232" s="68">
        <v>6</v>
      </c>
      <c r="B232" s="68" t="s">
        <v>488</v>
      </c>
      <c r="C232" s="91" t="s">
        <v>255</v>
      </c>
      <c r="D232" s="67" t="s">
        <v>489</v>
      </c>
      <c r="E232" s="69" t="s">
        <v>490</v>
      </c>
      <c r="F232" s="40">
        <v>3079.9</v>
      </c>
      <c r="G232" s="40">
        <v>256.89999999999998</v>
      </c>
      <c r="H232" s="40">
        <v>3079.9</v>
      </c>
      <c r="I232" s="70">
        <v>256.89999999999998</v>
      </c>
      <c r="J232" s="71">
        <v>3500</v>
      </c>
      <c r="K232" s="71">
        <v>0</v>
      </c>
      <c r="L232" s="71">
        <v>0</v>
      </c>
      <c r="M232" s="71">
        <f t="shared" si="652"/>
        <v>3500</v>
      </c>
      <c r="N232" s="71">
        <v>0</v>
      </c>
      <c r="O232" s="71">
        <v>0</v>
      </c>
      <c r="P232" s="71">
        <v>0</v>
      </c>
      <c r="Q232" s="71">
        <f t="shared" si="653"/>
        <v>0</v>
      </c>
      <c r="R232" s="71">
        <f t="shared" si="654"/>
        <v>3500</v>
      </c>
      <c r="S232" s="71">
        <v>460</v>
      </c>
      <c r="T232" s="92"/>
      <c r="U232" s="92"/>
      <c r="V232" s="70">
        <f t="shared" si="655"/>
        <v>3259.46</v>
      </c>
      <c r="W232" s="70">
        <f t="shared" si="656"/>
        <v>265.3</v>
      </c>
      <c r="X232" s="70">
        <f t="shared" si="529"/>
        <v>240.53999999999996</v>
      </c>
      <c r="Y232" s="70">
        <f t="shared" si="529"/>
        <v>194.7</v>
      </c>
      <c r="Z232" s="70">
        <v>3259.46</v>
      </c>
      <c r="AA232" s="70"/>
      <c r="AB232" s="70">
        <f t="shared" si="547"/>
        <v>3259.46</v>
      </c>
      <c r="AC232" s="43">
        <f t="shared" si="548"/>
        <v>0</v>
      </c>
      <c r="AD232" s="70">
        <f t="shared" si="657"/>
        <v>3259.46</v>
      </c>
      <c r="AE232" s="70">
        <f t="shared" si="657"/>
        <v>265.3</v>
      </c>
      <c r="AF232" s="70">
        <f t="shared" si="570"/>
        <v>415.01</v>
      </c>
      <c r="AG232" s="43">
        <f t="shared" si="530"/>
        <v>815</v>
      </c>
      <c r="AH232" s="43">
        <f t="shared" si="530"/>
        <v>66</v>
      </c>
      <c r="AI232" s="93">
        <f t="shared" si="531"/>
        <v>272</v>
      </c>
      <c r="AJ232" s="43">
        <f t="shared" si="531"/>
        <v>22</v>
      </c>
      <c r="AK232" s="43"/>
      <c r="AL232" s="43"/>
      <c r="AM232" s="43">
        <f t="shared" si="571"/>
        <v>814.87</v>
      </c>
      <c r="AN232" s="43">
        <f t="shared" si="572"/>
        <v>64.599999999999994</v>
      </c>
      <c r="AO232" s="43"/>
      <c r="AP232" s="43"/>
      <c r="AQ232" s="43">
        <f t="shared" si="532"/>
        <v>1629.87</v>
      </c>
      <c r="AR232" s="43">
        <f t="shared" si="532"/>
        <v>130.6</v>
      </c>
      <c r="AS232" s="43"/>
      <c r="AT232" s="43"/>
      <c r="AU232" s="43">
        <f t="shared" si="623"/>
        <v>814.87</v>
      </c>
      <c r="AV232" s="43">
        <f>ROUND(AE232*25%,2)+20</f>
        <v>86.33</v>
      </c>
      <c r="AW232" s="43"/>
      <c r="AX232" s="43"/>
      <c r="AY232" s="43">
        <f t="shared" si="520"/>
        <v>2716.74</v>
      </c>
      <c r="AZ232" s="43">
        <f t="shared" si="520"/>
        <v>238.93</v>
      </c>
      <c r="BA232" s="43">
        <f t="shared" si="521"/>
        <v>2955.6699999999996</v>
      </c>
      <c r="BB232" s="121">
        <v>2769.48</v>
      </c>
      <c r="BC232" s="60">
        <v>220.24</v>
      </c>
      <c r="BD232" s="60">
        <f t="shared" si="522"/>
        <v>-52.740000000000236</v>
      </c>
      <c r="BE232" s="60">
        <f t="shared" si="522"/>
        <v>18.689999999999998</v>
      </c>
      <c r="BF232" s="60">
        <f t="shared" si="523"/>
        <v>553.9</v>
      </c>
      <c r="BG232" s="60">
        <f t="shared" si="523"/>
        <v>44.05</v>
      </c>
      <c r="BH232" s="43">
        <v>303.32</v>
      </c>
      <c r="BI232" s="43">
        <v>12.68</v>
      </c>
      <c r="BJ232" s="43"/>
      <c r="BK232" s="43"/>
      <c r="BL232" s="43">
        <f t="shared" si="545"/>
        <v>3020.06</v>
      </c>
      <c r="BM232" s="43">
        <f t="shared" si="545"/>
        <v>251.61</v>
      </c>
      <c r="BN232" s="43">
        <f t="shared" si="573"/>
        <v>3271.67</v>
      </c>
      <c r="BO232" s="43">
        <v>3037.49</v>
      </c>
      <c r="BP232" s="93">
        <v>224.14</v>
      </c>
      <c r="BQ232" s="43">
        <f t="shared" si="549"/>
        <v>-17.429999999999836</v>
      </c>
      <c r="BR232" s="43">
        <f t="shared" si="549"/>
        <v>27.470000000000027</v>
      </c>
      <c r="BS232" s="43">
        <f t="shared" si="550"/>
        <v>276.14</v>
      </c>
      <c r="BT232" s="43">
        <f t="shared" si="550"/>
        <v>20.38</v>
      </c>
      <c r="BU232" s="43">
        <f t="shared" si="583"/>
        <v>293.56999999999982</v>
      </c>
      <c r="BV232" s="43">
        <v>0</v>
      </c>
      <c r="BW232" s="43">
        <v>36.369999999999997</v>
      </c>
      <c r="BX232" s="43">
        <f>100+38.39</f>
        <v>138.38999999999999</v>
      </c>
      <c r="BY232" s="43"/>
      <c r="BZ232" s="43"/>
      <c r="CA232" s="43">
        <v>3349.9999999999995</v>
      </c>
      <c r="CB232" s="43">
        <v>390</v>
      </c>
      <c r="CC232" s="92">
        <v>3685</v>
      </c>
      <c r="CD232" s="92">
        <v>448.5</v>
      </c>
      <c r="CE232" s="92">
        <v>307</v>
      </c>
      <c r="CF232" s="92">
        <v>37</v>
      </c>
      <c r="CG232" s="92">
        <f t="shared" si="551"/>
        <v>837.5</v>
      </c>
      <c r="CH232" s="92">
        <f t="shared" si="551"/>
        <v>97.5</v>
      </c>
      <c r="CI232" s="43"/>
      <c r="CJ232" s="43"/>
      <c r="CK232" s="43">
        <v>825</v>
      </c>
      <c r="CL232" s="72">
        <f>175-75</f>
        <v>100</v>
      </c>
      <c r="CM232" s="72"/>
      <c r="CN232" s="72"/>
      <c r="CO232" s="43">
        <v>3850</v>
      </c>
      <c r="CP232" s="43">
        <v>410</v>
      </c>
      <c r="CQ232" s="43">
        <f t="shared" si="552"/>
        <v>3300</v>
      </c>
      <c r="CR232" s="43">
        <f t="shared" si="552"/>
        <v>400</v>
      </c>
      <c r="CS232" s="43">
        <f t="shared" si="553"/>
        <v>3300</v>
      </c>
      <c r="CT232" s="43">
        <f t="shared" si="553"/>
        <v>400</v>
      </c>
      <c r="CU232" s="43">
        <v>3850</v>
      </c>
      <c r="CV232" s="43">
        <v>400</v>
      </c>
      <c r="CW232" s="43">
        <f t="shared" si="554"/>
        <v>962.5</v>
      </c>
      <c r="CX232" s="43">
        <f t="shared" si="554"/>
        <v>100</v>
      </c>
      <c r="CY232" s="43"/>
      <c r="CZ232" s="43"/>
      <c r="DA232" s="43">
        <f t="shared" si="555"/>
        <v>2094.5</v>
      </c>
      <c r="DB232" s="43">
        <f t="shared" si="555"/>
        <v>237</v>
      </c>
      <c r="DC232" s="43">
        <v>2035.69</v>
      </c>
      <c r="DD232" s="43">
        <v>152.22999999999999</v>
      </c>
      <c r="DE232" s="43">
        <f t="shared" si="556"/>
        <v>58.809999999999945</v>
      </c>
      <c r="DF232" s="43">
        <f t="shared" si="556"/>
        <v>84.77000000000001</v>
      </c>
      <c r="DG232" s="43">
        <f t="shared" si="658"/>
        <v>925</v>
      </c>
      <c r="DH232" s="43">
        <f t="shared" si="658"/>
        <v>100</v>
      </c>
      <c r="DI232" s="43">
        <f t="shared" si="659"/>
        <v>866.19</v>
      </c>
      <c r="DJ232" s="43">
        <f t="shared" si="659"/>
        <v>15.22999999999999</v>
      </c>
      <c r="DK232" s="43"/>
      <c r="DL232" s="43">
        <v>50</v>
      </c>
      <c r="DM232" s="43">
        <f t="shared" si="558"/>
        <v>2960.69</v>
      </c>
      <c r="DN232" s="43">
        <f t="shared" si="558"/>
        <v>302.23</v>
      </c>
      <c r="DO232" s="104">
        <v>2856.67</v>
      </c>
      <c r="DP232" s="95">
        <v>263.58</v>
      </c>
      <c r="DQ232" s="60">
        <f t="shared" si="559"/>
        <v>104.02</v>
      </c>
      <c r="DR232" s="60">
        <f t="shared" si="559"/>
        <v>38.65</v>
      </c>
      <c r="DS232" s="60">
        <f t="shared" si="560"/>
        <v>285.66700000000003</v>
      </c>
      <c r="DT232" s="60">
        <f t="shared" si="560"/>
        <v>26.357999999999997</v>
      </c>
      <c r="DU232" s="60">
        <f t="shared" si="561"/>
        <v>181.64700000000005</v>
      </c>
      <c r="DV232" s="60">
        <f t="shared" si="561"/>
        <v>-12.292000000000002</v>
      </c>
      <c r="DW232" s="60"/>
      <c r="DX232" s="60"/>
      <c r="DY232" s="60">
        <f t="shared" si="569"/>
        <v>181.65</v>
      </c>
      <c r="DZ232" s="60">
        <v>0</v>
      </c>
      <c r="EA232" s="60"/>
      <c r="EB232" s="60">
        <v>25</v>
      </c>
      <c r="EC232" s="43">
        <f t="shared" si="562"/>
        <v>3142.34</v>
      </c>
      <c r="ED232" s="43">
        <f t="shared" si="562"/>
        <v>327.23</v>
      </c>
      <c r="EE232" s="43">
        <v>3133.03</v>
      </c>
      <c r="EF232" s="43">
        <v>312.83</v>
      </c>
      <c r="EG232" s="43">
        <f t="shared" si="607"/>
        <v>99.7</v>
      </c>
      <c r="EH232" s="43">
        <f t="shared" si="607"/>
        <v>95.6</v>
      </c>
      <c r="EI232" s="43">
        <f t="shared" si="563"/>
        <v>9.31</v>
      </c>
      <c r="EJ232" s="43">
        <f t="shared" si="563"/>
        <v>14.4</v>
      </c>
      <c r="EK232" s="43">
        <f t="shared" si="564"/>
        <v>284.82</v>
      </c>
      <c r="EL232" s="43">
        <f t="shared" si="564"/>
        <v>28.44</v>
      </c>
      <c r="EM232" s="43">
        <f t="shared" si="565"/>
        <v>275.51</v>
      </c>
      <c r="EN232" s="43">
        <f t="shared" si="565"/>
        <v>14.040000000000001</v>
      </c>
      <c r="EO232" s="43">
        <v>300</v>
      </c>
      <c r="EP232" s="43">
        <v>105</v>
      </c>
      <c r="EQ232" s="5"/>
      <c r="ER232" s="5"/>
      <c r="ES232" s="5"/>
      <c r="ET232" s="5"/>
      <c r="EU232" s="5">
        <f t="shared" si="642"/>
        <v>257.65999999999985</v>
      </c>
      <c r="EV232" s="5">
        <f t="shared" si="642"/>
        <v>-22.230000000000018</v>
      </c>
      <c r="EW232" s="5">
        <v>3700</v>
      </c>
      <c r="EX232" s="5">
        <v>410</v>
      </c>
      <c r="EY232" s="5">
        <v>4240</v>
      </c>
      <c r="EZ232" s="5">
        <v>300</v>
      </c>
    </row>
    <row r="233" spans="1:159" ht="18.75" x14ac:dyDescent="0.25">
      <c r="A233" s="37">
        <v>7</v>
      </c>
      <c r="B233" s="37"/>
      <c r="C233" s="91" t="s">
        <v>255</v>
      </c>
      <c r="D233" s="38" t="s">
        <v>491</v>
      </c>
      <c r="E233" s="39"/>
      <c r="F233" s="40">
        <v>6349.9999999999991</v>
      </c>
      <c r="G233" s="40">
        <v>7302.23</v>
      </c>
      <c r="H233" s="40">
        <v>6349.9999999999991</v>
      </c>
      <c r="I233" s="40">
        <v>7450</v>
      </c>
      <c r="J233" s="41">
        <v>8000</v>
      </c>
      <c r="K233" s="41">
        <v>0</v>
      </c>
      <c r="L233" s="41">
        <v>0</v>
      </c>
      <c r="M233" s="41">
        <f t="shared" ref="M233:M234" si="660">J233+K233+L233</f>
        <v>8000</v>
      </c>
      <c r="N233" s="41">
        <v>0</v>
      </c>
      <c r="O233" s="41">
        <v>0</v>
      </c>
      <c r="P233" s="41">
        <v>0</v>
      </c>
      <c r="Q233" s="41">
        <f t="shared" ref="Q233:Q234" si="661">N233+O233+P233</f>
        <v>0</v>
      </c>
      <c r="R233" s="41">
        <f t="shared" si="654"/>
        <v>8000</v>
      </c>
      <c r="S233" s="41">
        <v>8990</v>
      </c>
      <c r="T233" s="92"/>
      <c r="U233" s="92"/>
      <c r="V233" s="40">
        <f t="shared" si="655"/>
        <v>6720.21</v>
      </c>
      <c r="W233" s="40">
        <f t="shared" si="656"/>
        <v>7693.62</v>
      </c>
      <c r="X233" s="43">
        <f t="shared" si="529"/>
        <v>1279.79</v>
      </c>
      <c r="Y233" s="43">
        <f t="shared" si="529"/>
        <v>1296.3800000000001</v>
      </c>
      <c r="Z233" s="43">
        <v>6720.21</v>
      </c>
      <c r="AA233" s="43"/>
      <c r="AB233" s="43">
        <f t="shared" si="547"/>
        <v>6720.21</v>
      </c>
      <c r="AC233" s="43">
        <f t="shared" si="548"/>
        <v>0</v>
      </c>
      <c r="AD233" s="43">
        <f t="shared" si="657"/>
        <v>6720.21</v>
      </c>
      <c r="AE233" s="43">
        <f t="shared" si="657"/>
        <v>7693.62</v>
      </c>
      <c r="AF233" s="43">
        <f t="shared" si="570"/>
        <v>8110.78</v>
      </c>
      <c r="AG233" s="43">
        <f t="shared" si="530"/>
        <v>1680</v>
      </c>
      <c r="AH233" s="43">
        <f t="shared" si="530"/>
        <v>1923</v>
      </c>
      <c r="AI233" s="93">
        <f t="shared" si="531"/>
        <v>560</v>
      </c>
      <c r="AJ233" s="43">
        <f t="shared" si="531"/>
        <v>641</v>
      </c>
      <c r="AK233" s="43"/>
      <c r="AL233" s="43"/>
      <c r="AM233" s="43">
        <f t="shared" si="571"/>
        <v>1680.05</v>
      </c>
      <c r="AN233" s="43">
        <f t="shared" si="572"/>
        <v>1873.4</v>
      </c>
      <c r="AO233" s="43"/>
      <c r="AP233" s="43"/>
      <c r="AQ233" s="43">
        <f t="shared" si="532"/>
        <v>3360.05</v>
      </c>
      <c r="AR233" s="43">
        <f t="shared" si="532"/>
        <v>3796.4</v>
      </c>
      <c r="AS233" s="43"/>
      <c r="AT233" s="43"/>
      <c r="AU233" s="43">
        <f t="shared" si="623"/>
        <v>1680.05</v>
      </c>
      <c r="AV233" s="43">
        <f t="shared" si="623"/>
        <v>1923.41</v>
      </c>
      <c r="AW233" s="43"/>
      <c r="AX233" s="43"/>
      <c r="AY233" s="43">
        <f t="shared" si="520"/>
        <v>5600.1</v>
      </c>
      <c r="AZ233" s="43">
        <f t="shared" si="520"/>
        <v>6360.81</v>
      </c>
      <c r="BA233" s="43">
        <f t="shared" si="521"/>
        <v>11960.91</v>
      </c>
      <c r="BB233" s="121">
        <v>5524.79</v>
      </c>
      <c r="BC233" s="60">
        <v>6677.92</v>
      </c>
      <c r="BD233" s="60">
        <f t="shared" si="522"/>
        <v>75.3100000000004</v>
      </c>
      <c r="BE233" s="60">
        <f t="shared" si="522"/>
        <v>-317.10999999999967</v>
      </c>
      <c r="BF233" s="60">
        <f t="shared" si="523"/>
        <v>1104.96</v>
      </c>
      <c r="BG233" s="60">
        <f t="shared" si="523"/>
        <v>1335.58</v>
      </c>
      <c r="BH233" s="43">
        <v>514.83000000000004</v>
      </c>
      <c r="BI233" s="43">
        <v>776.35</v>
      </c>
      <c r="BJ233" s="43"/>
      <c r="BK233" s="43"/>
      <c r="BL233" s="43">
        <f t="shared" si="545"/>
        <v>6114.93</v>
      </c>
      <c r="BM233" s="43">
        <f t="shared" si="545"/>
        <v>7137.1600000000008</v>
      </c>
      <c r="BN233" s="43">
        <f t="shared" si="573"/>
        <v>13252.09</v>
      </c>
      <c r="BO233" s="43">
        <v>6090.08</v>
      </c>
      <c r="BP233" s="93">
        <v>7297.64</v>
      </c>
      <c r="BQ233" s="43">
        <f t="shared" si="549"/>
        <v>24.850000000000364</v>
      </c>
      <c r="BR233" s="43">
        <f t="shared" si="549"/>
        <v>-160.47999999999956</v>
      </c>
      <c r="BS233" s="43">
        <f t="shared" si="550"/>
        <v>553.64</v>
      </c>
      <c r="BT233" s="43">
        <f t="shared" si="550"/>
        <v>663.42</v>
      </c>
      <c r="BU233" s="43">
        <f t="shared" si="583"/>
        <v>528.78999999999962</v>
      </c>
      <c r="BV233" s="43">
        <f>ROUND(BT233-BR233,2)</f>
        <v>823.9</v>
      </c>
      <c r="BW233" s="43">
        <v>76.28</v>
      </c>
      <c r="BX233" s="43">
        <v>138.94</v>
      </c>
      <c r="BY233" s="43"/>
      <c r="BZ233" s="43"/>
      <c r="CA233" s="43">
        <v>6720</v>
      </c>
      <c r="CB233" s="43">
        <v>8100</v>
      </c>
      <c r="CC233" s="92">
        <v>7392</v>
      </c>
      <c r="CD233" s="92">
        <v>9315</v>
      </c>
      <c r="CE233" s="92">
        <v>616</v>
      </c>
      <c r="CF233" s="92">
        <v>776</v>
      </c>
      <c r="CG233" s="92">
        <f t="shared" si="551"/>
        <v>1680</v>
      </c>
      <c r="CH233" s="92">
        <f t="shared" si="551"/>
        <v>2025</v>
      </c>
      <c r="CI233" s="43"/>
      <c r="CJ233" s="43"/>
      <c r="CK233" s="43">
        <v>1840</v>
      </c>
      <c r="CL233" s="72">
        <f>2300-120</f>
        <v>2180</v>
      </c>
      <c r="CM233" s="72"/>
      <c r="CN233" s="72"/>
      <c r="CO233" s="43">
        <v>7350</v>
      </c>
      <c r="CP233" s="43">
        <v>8400</v>
      </c>
      <c r="CQ233" s="43">
        <f t="shared" si="552"/>
        <v>7360</v>
      </c>
      <c r="CR233" s="43">
        <f t="shared" si="552"/>
        <v>8720</v>
      </c>
      <c r="CS233" s="43">
        <f t="shared" si="553"/>
        <v>7350</v>
      </c>
      <c r="CT233" s="43">
        <f t="shared" si="553"/>
        <v>8400</v>
      </c>
      <c r="CU233" s="43">
        <f t="shared" si="553"/>
        <v>7350</v>
      </c>
      <c r="CV233" s="43">
        <f t="shared" si="553"/>
        <v>8400</v>
      </c>
      <c r="CW233" s="43">
        <f t="shared" si="554"/>
        <v>1837.5</v>
      </c>
      <c r="CX233" s="43">
        <f t="shared" si="554"/>
        <v>2100</v>
      </c>
      <c r="CY233" s="43"/>
      <c r="CZ233" s="43"/>
      <c r="DA233" s="43">
        <f t="shared" si="555"/>
        <v>4293.5</v>
      </c>
      <c r="DB233" s="43">
        <f t="shared" si="555"/>
        <v>5056</v>
      </c>
      <c r="DC233" s="43">
        <v>4120.47</v>
      </c>
      <c r="DD233" s="43">
        <v>5112.4799999999996</v>
      </c>
      <c r="DE233" s="43">
        <f t="shared" si="556"/>
        <v>173.02999999999975</v>
      </c>
      <c r="DF233" s="43">
        <f t="shared" si="556"/>
        <v>-56.479999999999563</v>
      </c>
      <c r="DG233" s="43">
        <f t="shared" si="658"/>
        <v>1837.5</v>
      </c>
      <c r="DH233" s="43">
        <f t="shared" si="658"/>
        <v>2100</v>
      </c>
      <c r="DI233" s="43">
        <f t="shared" si="659"/>
        <v>1664.4700000000003</v>
      </c>
      <c r="DJ233" s="43">
        <f t="shared" si="659"/>
        <v>2156.4799999999996</v>
      </c>
      <c r="DK233" s="43"/>
      <c r="DL233" s="43"/>
      <c r="DM233" s="43">
        <f t="shared" si="558"/>
        <v>5957.97</v>
      </c>
      <c r="DN233" s="43">
        <f t="shared" si="558"/>
        <v>7212.48</v>
      </c>
      <c r="DO233" s="94">
        <v>5961.83</v>
      </c>
      <c r="DP233" s="95">
        <v>7356.29</v>
      </c>
      <c r="DQ233" s="60">
        <f t="shared" si="559"/>
        <v>-3.86</v>
      </c>
      <c r="DR233" s="60">
        <f t="shared" si="559"/>
        <v>-143.81</v>
      </c>
      <c r="DS233" s="60">
        <f t="shared" si="560"/>
        <v>596.18299999999999</v>
      </c>
      <c r="DT233" s="60">
        <f t="shared" si="560"/>
        <v>735.62900000000002</v>
      </c>
      <c r="DU233" s="60">
        <f t="shared" si="561"/>
        <v>600.04300000000001</v>
      </c>
      <c r="DV233" s="60">
        <f t="shared" si="561"/>
        <v>879.43900000000008</v>
      </c>
      <c r="DW233" s="60"/>
      <c r="DX233" s="60"/>
      <c r="DY233" s="60">
        <f t="shared" si="569"/>
        <v>600.04</v>
      </c>
      <c r="DZ233" s="60">
        <f t="shared" si="569"/>
        <v>879.44</v>
      </c>
      <c r="EA233" s="60"/>
      <c r="EB233" s="60"/>
      <c r="EC233" s="43">
        <f t="shared" si="562"/>
        <v>6558.01</v>
      </c>
      <c r="ED233" s="43">
        <f t="shared" si="562"/>
        <v>8091.92</v>
      </c>
      <c r="EE233" s="43">
        <v>6557.66</v>
      </c>
      <c r="EF233" s="43">
        <v>7945.45</v>
      </c>
      <c r="EG233" s="43">
        <f t="shared" si="607"/>
        <v>99.99</v>
      </c>
      <c r="EH233" s="43">
        <f t="shared" si="607"/>
        <v>98.19</v>
      </c>
      <c r="EI233" s="43">
        <f t="shared" si="563"/>
        <v>0.35</v>
      </c>
      <c r="EJ233" s="43">
        <f t="shared" si="563"/>
        <v>146.47</v>
      </c>
      <c r="EK233" s="43">
        <f t="shared" si="564"/>
        <v>596.15</v>
      </c>
      <c r="EL233" s="43">
        <f t="shared" si="564"/>
        <v>722.31</v>
      </c>
      <c r="EM233" s="43">
        <f t="shared" si="565"/>
        <v>595.79999999999995</v>
      </c>
      <c r="EN233" s="43">
        <f t="shared" si="565"/>
        <v>575.83999999999992</v>
      </c>
      <c r="EO233" s="43">
        <v>575</v>
      </c>
      <c r="EP233" s="43">
        <v>400</v>
      </c>
      <c r="EQ233" s="5"/>
      <c r="ER233" s="5"/>
      <c r="ES233" s="5"/>
      <c r="ET233" s="5"/>
      <c r="EU233" s="5">
        <f t="shared" si="642"/>
        <v>466.98999999999978</v>
      </c>
      <c r="EV233" s="5">
        <f t="shared" si="642"/>
        <v>203.07999999999993</v>
      </c>
      <c r="EW233" s="5">
        <v>7600</v>
      </c>
      <c r="EX233" s="5">
        <v>8695</v>
      </c>
      <c r="EY233" s="5">
        <v>8300</v>
      </c>
      <c r="EZ233" s="5">
        <v>8800</v>
      </c>
    </row>
    <row r="234" spans="1:159" ht="18.75" x14ac:dyDescent="0.25">
      <c r="A234" s="37">
        <v>8</v>
      </c>
      <c r="B234" s="37"/>
      <c r="C234" s="91" t="s">
        <v>255</v>
      </c>
      <c r="D234" s="38" t="s">
        <v>492</v>
      </c>
      <c r="E234" s="39"/>
      <c r="F234" s="40">
        <v>0</v>
      </c>
      <c r="G234" s="40">
        <v>0</v>
      </c>
      <c r="H234" s="40">
        <v>0</v>
      </c>
      <c r="I234" s="40">
        <v>0</v>
      </c>
      <c r="J234" s="41">
        <v>0</v>
      </c>
      <c r="K234" s="41">
        <v>0</v>
      </c>
      <c r="L234" s="41">
        <v>0</v>
      </c>
      <c r="M234" s="41">
        <f t="shared" si="660"/>
        <v>0</v>
      </c>
      <c r="N234" s="41">
        <v>0</v>
      </c>
      <c r="O234" s="41">
        <v>0</v>
      </c>
      <c r="P234" s="41">
        <v>0</v>
      </c>
      <c r="Q234" s="41">
        <f t="shared" si="661"/>
        <v>0</v>
      </c>
      <c r="R234" s="41">
        <f t="shared" si="654"/>
        <v>0</v>
      </c>
      <c r="S234" s="41">
        <v>0</v>
      </c>
      <c r="T234" s="92"/>
      <c r="U234" s="92"/>
      <c r="V234" s="40">
        <f t="shared" si="655"/>
        <v>0</v>
      </c>
      <c r="W234" s="40">
        <f t="shared" si="656"/>
        <v>0</v>
      </c>
      <c r="X234" s="43">
        <f t="shared" si="529"/>
        <v>0</v>
      </c>
      <c r="Y234" s="43">
        <f t="shared" si="529"/>
        <v>0</v>
      </c>
      <c r="Z234" s="43">
        <v>0</v>
      </c>
      <c r="AA234" s="43"/>
      <c r="AB234" s="43">
        <f t="shared" si="547"/>
        <v>0</v>
      </c>
      <c r="AC234" s="43">
        <f t="shared" si="548"/>
        <v>0</v>
      </c>
      <c r="AD234" s="43">
        <f t="shared" si="657"/>
        <v>0</v>
      </c>
      <c r="AE234" s="43">
        <f t="shared" si="657"/>
        <v>0</v>
      </c>
      <c r="AF234" s="43">
        <f t="shared" si="570"/>
        <v>0</v>
      </c>
      <c r="AG234" s="43">
        <f t="shared" si="530"/>
        <v>0</v>
      </c>
      <c r="AH234" s="43">
        <f t="shared" si="530"/>
        <v>0</v>
      </c>
      <c r="AI234" s="93">
        <f t="shared" si="531"/>
        <v>0</v>
      </c>
      <c r="AJ234" s="43">
        <f t="shared" si="531"/>
        <v>0</v>
      </c>
      <c r="AK234" s="43"/>
      <c r="AL234" s="43"/>
      <c r="AM234" s="43">
        <f t="shared" si="571"/>
        <v>0</v>
      </c>
      <c r="AN234" s="43">
        <f t="shared" si="572"/>
        <v>0</v>
      </c>
      <c r="AO234" s="43"/>
      <c r="AP234" s="43"/>
      <c r="AQ234" s="43">
        <f t="shared" si="532"/>
        <v>0</v>
      </c>
      <c r="AR234" s="43">
        <f t="shared" si="532"/>
        <v>0</v>
      </c>
      <c r="AS234" s="43"/>
      <c r="AT234" s="43"/>
      <c r="AU234" s="43">
        <f t="shared" si="623"/>
        <v>0</v>
      </c>
      <c r="AV234" s="43">
        <f t="shared" si="623"/>
        <v>0</v>
      </c>
      <c r="AW234" s="43"/>
      <c r="AX234" s="43"/>
      <c r="AY234" s="43">
        <f t="shared" si="520"/>
        <v>0</v>
      </c>
      <c r="AZ234" s="43">
        <f t="shared" si="520"/>
        <v>0</v>
      </c>
      <c r="BA234" s="43">
        <f t="shared" si="521"/>
        <v>0</v>
      </c>
      <c r="BB234" s="121">
        <v>0</v>
      </c>
      <c r="BC234" s="60"/>
      <c r="BD234" s="60">
        <f t="shared" si="522"/>
        <v>0</v>
      </c>
      <c r="BE234" s="60">
        <f t="shared" si="522"/>
        <v>0</v>
      </c>
      <c r="BF234" s="60">
        <f t="shared" si="523"/>
        <v>0</v>
      </c>
      <c r="BG234" s="60">
        <f t="shared" si="523"/>
        <v>0</v>
      </c>
      <c r="BH234" s="43">
        <v>0</v>
      </c>
      <c r="BI234" s="43">
        <v>0</v>
      </c>
      <c r="BJ234" s="43"/>
      <c r="BK234" s="43"/>
      <c r="BL234" s="43">
        <f t="shared" si="545"/>
        <v>0</v>
      </c>
      <c r="BM234" s="43">
        <f t="shared" si="545"/>
        <v>0</v>
      </c>
      <c r="BN234" s="43">
        <f t="shared" si="573"/>
        <v>0</v>
      </c>
      <c r="BO234" s="43">
        <v>0</v>
      </c>
      <c r="BP234" s="93"/>
      <c r="BQ234" s="43">
        <f t="shared" si="549"/>
        <v>0</v>
      </c>
      <c r="BR234" s="43">
        <f t="shared" si="549"/>
        <v>0</v>
      </c>
      <c r="BS234" s="43">
        <f t="shared" si="550"/>
        <v>0</v>
      </c>
      <c r="BT234" s="43">
        <f t="shared" si="550"/>
        <v>0</v>
      </c>
      <c r="BU234" s="43">
        <f t="shared" si="583"/>
        <v>0</v>
      </c>
      <c r="BV234" s="43">
        <f t="shared" ref="BV234:BV237" si="662">ROUND(BT234-BR234,2)</f>
        <v>0</v>
      </c>
      <c r="BW234" s="43"/>
      <c r="BX234" s="43"/>
      <c r="BY234" s="43"/>
      <c r="BZ234" s="43"/>
      <c r="CA234" s="43">
        <v>0</v>
      </c>
      <c r="CB234" s="43">
        <v>0</v>
      </c>
      <c r="CC234" s="92">
        <v>0</v>
      </c>
      <c r="CD234" s="92">
        <v>0</v>
      </c>
      <c r="CE234" s="92">
        <v>0</v>
      </c>
      <c r="CF234" s="92">
        <v>0</v>
      </c>
      <c r="CG234" s="92">
        <f t="shared" si="551"/>
        <v>0</v>
      </c>
      <c r="CH234" s="92">
        <f t="shared" si="551"/>
        <v>0</v>
      </c>
      <c r="CI234" s="43"/>
      <c r="CJ234" s="43"/>
      <c r="CK234" s="43">
        <v>0</v>
      </c>
      <c r="CL234" s="43">
        <v>0</v>
      </c>
      <c r="CM234" s="43"/>
      <c r="CN234" s="43"/>
      <c r="CO234" s="43"/>
      <c r="CP234" s="43"/>
      <c r="CQ234" s="43">
        <f t="shared" si="552"/>
        <v>0</v>
      </c>
      <c r="CR234" s="43">
        <f t="shared" si="552"/>
        <v>0</v>
      </c>
      <c r="CS234" s="43">
        <f t="shared" si="553"/>
        <v>0</v>
      </c>
      <c r="CT234" s="43">
        <f t="shared" si="553"/>
        <v>0</v>
      </c>
      <c r="CU234" s="43">
        <f t="shared" si="553"/>
        <v>0</v>
      </c>
      <c r="CV234" s="43">
        <f t="shared" si="553"/>
        <v>0</v>
      </c>
      <c r="CW234" s="43">
        <f t="shared" si="554"/>
        <v>0</v>
      </c>
      <c r="CX234" s="43">
        <f t="shared" si="554"/>
        <v>0</v>
      </c>
      <c r="CY234" s="43"/>
      <c r="CZ234" s="43"/>
      <c r="DA234" s="43">
        <f t="shared" si="555"/>
        <v>0</v>
      </c>
      <c r="DB234" s="43">
        <f t="shared" si="555"/>
        <v>0</v>
      </c>
      <c r="DC234" s="43">
        <v>0</v>
      </c>
      <c r="DD234" s="43">
        <v>0</v>
      </c>
      <c r="DE234" s="43">
        <f t="shared" si="556"/>
        <v>0</v>
      </c>
      <c r="DF234" s="43">
        <f t="shared" si="556"/>
        <v>0</v>
      </c>
      <c r="DG234" s="43">
        <f t="shared" si="658"/>
        <v>0</v>
      </c>
      <c r="DH234" s="43">
        <f t="shared" si="658"/>
        <v>0</v>
      </c>
      <c r="DI234" s="43">
        <f t="shared" si="659"/>
        <v>0</v>
      </c>
      <c r="DJ234" s="43">
        <f t="shared" si="659"/>
        <v>0</v>
      </c>
      <c r="DK234" s="43"/>
      <c r="DL234" s="43"/>
      <c r="DM234" s="43">
        <f t="shared" si="558"/>
        <v>0</v>
      </c>
      <c r="DN234" s="43">
        <f t="shared" si="558"/>
        <v>0</v>
      </c>
      <c r="DO234" s="94">
        <v>0</v>
      </c>
      <c r="DP234" s="95">
        <v>0</v>
      </c>
      <c r="DQ234" s="60">
        <f t="shared" si="559"/>
        <v>0</v>
      </c>
      <c r="DR234" s="60">
        <f t="shared" si="559"/>
        <v>0</v>
      </c>
      <c r="DS234" s="60">
        <f t="shared" si="560"/>
        <v>0</v>
      </c>
      <c r="DT234" s="60">
        <f t="shared" si="560"/>
        <v>0</v>
      </c>
      <c r="DU234" s="60">
        <f t="shared" si="561"/>
        <v>0</v>
      </c>
      <c r="DV234" s="60">
        <f t="shared" si="561"/>
        <v>0</v>
      </c>
      <c r="DW234" s="60"/>
      <c r="DX234" s="60"/>
      <c r="DY234" s="60">
        <f t="shared" si="569"/>
        <v>0</v>
      </c>
      <c r="DZ234" s="60">
        <f t="shared" si="569"/>
        <v>0</v>
      </c>
      <c r="EA234" s="60"/>
      <c r="EB234" s="60"/>
      <c r="EC234" s="43">
        <f t="shared" si="562"/>
        <v>0</v>
      </c>
      <c r="ED234" s="43">
        <f t="shared" si="562"/>
        <v>0</v>
      </c>
      <c r="EE234" s="43">
        <v>0</v>
      </c>
      <c r="EF234" s="43">
        <v>0</v>
      </c>
      <c r="EG234" s="43" t="e">
        <f t="shared" si="607"/>
        <v>#DIV/0!</v>
      </c>
      <c r="EH234" s="43" t="e">
        <f t="shared" si="607"/>
        <v>#DIV/0!</v>
      </c>
      <c r="EI234" s="43">
        <f t="shared" si="563"/>
        <v>0</v>
      </c>
      <c r="EJ234" s="43">
        <f t="shared" si="563"/>
        <v>0</v>
      </c>
      <c r="EK234" s="43">
        <f t="shared" si="564"/>
        <v>0</v>
      </c>
      <c r="EL234" s="43">
        <f t="shared" si="564"/>
        <v>0</v>
      </c>
      <c r="EM234" s="43">
        <f t="shared" si="565"/>
        <v>0</v>
      </c>
      <c r="EN234" s="43">
        <f t="shared" si="565"/>
        <v>0</v>
      </c>
      <c r="EO234" s="43">
        <v>0</v>
      </c>
      <c r="EP234" s="43">
        <v>0</v>
      </c>
      <c r="EQ234" s="5"/>
      <c r="ER234" s="5"/>
      <c r="ES234" s="5"/>
      <c r="ET234" s="5"/>
      <c r="EU234" s="5">
        <f t="shared" si="642"/>
        <v>0</v>
      </c>
      <c r="EV234" s="5">
        <f t="shared" si="642"/>
        <v>0</v>
      </c>
      <c r="EW234" s="5">
        <v>0</v>
      </c>
      <c r="EX234" s="5">
        <v>0</v>
      </c>
      <c r="EY234" s="5">
        <v>0</v>
      </c>
      <c r="EZ234" s="5">
        <v>0</v>
      </c>
    </row>
    <row r="235" spans="1:159" ht="18.75" x14ac:dyDescent="0.25">
      <c r="A235" s="68"/>
      <c r="B235" s="68" t="s">
        <v>493</v>
      </c>
      <c r="C235" s="91" t="s">
        <v>255</v>
      </c>
      <c r="D235" s="67" t="s">
        <v>491</v>
      </c>
      <c r="E235" s="69" t="s">
        <v>494</v>
      </c>
      <c r="F235" s="70">
        <v>6349.9999999999991</v>
      </c>
      <c r="G235" s="70">
        <v>7302.23</v>
      </c>
      <c r="H235" s="70">
        <v>6349.9999999999991</v>
      </c>
      <c r="I235" s="70">
        <v>7450</v>
      </c>
      <c r="J235" s="71">
        <f t="shared" ref="J235:AA235" si="663">+J233+J234</f>
        <v>8000</v>
      </c>
      <c r="K235" s="71">
        <f t="shared" si="663"/>
        <v>0</v>
      </c>
      <c r="L235" s="71">
        <f t="shared" si="663"/>
        <v>0</v>
      </c>
      <c r="M235" s="71">
        <f t="shared" si="663"/>
        <v>8000</v>
      </c>
      <c r="N235" s="71">
        <f t="shared" si="663"/>
        <v>0</v>
      </c>
      <c r="O235" s="71">
        <f t="shared" si="663"/>
        <v>0</v>
      </c>
      <c r="P235" s="71">
        <f t="shared" si="663"/>
        <v>0</v>
      </c>
      <c r="Q235" s="71">
        <f t="shared" si="663"/>
        <v>0</v>
      </c>
      <c r="R235" s="71">
        <f t="shared" si="663"/>
        <v>8000</v>
      </c>
      <c r="S235" s="71">
        <f t="shared" si="663"/>
        <v>8990</v>
      </c>
      <c r="T235" s="71">
        <f t="shared" si="663"/>
        <v>0</v>
      </c>
      <c r="U235" s="71">
        <f t="shared" si="663"/>
        <v>0</v>
      </c>
      <c r="V235" s="71">
        <f t="shared" si="663"/>
        <v>6720.21</v>
      </c>
      <c r="W235" s="71">
        <f t="shared" si="663"/>
        <v>7693.62</v>
      </c>
      <c r="X235" s="71">
        <f t="shared" si="663"/>
        <v>1279.79</v>
      </c>
      <c r="Y235" s="71">
        <f t="shared" si="663"/>
        <v>1296.3800000000001</v>
      </c>
      <c r="Z235" s="71">
        <f t="shared" si="663"/>
        <v>6720.21</v>
      </c>
      <c r="AA235" s="71">
        <f t="shared" si="663"/>
        <v>0</v>
      </c>
      <c r="AB235" s="70">
        <f t="shared" si="547"/>
        <v>6720.21</v>
      </c>
      <c r="AC235" s="43">
        <f t="shared" si="548"/>
        <v>0</v>
      </c>
      <c r="AD235" s="70">
        <f t="shared" ref="AD235:CQ235" si="664">+AD233+AD234</f>
        <v>6720.21</v>
      </c>
      <c r="AE235" s="70">
        <f t="shared" si="664"/>
        <v>7693.62</v>
      </c>
      <c r="AF235" s="70">
        <f t="shared" si="664"/>
        <v>8110.78</v>
      </c>
      <c r="AG235" s="70">
        <f t="shared" si="664"/>
        <v>1680</v>
      </c>
      <c r="AH235" s="70">
        <f t="shared" si="664"/>
        <v>1923</v>
      </c>
      <c r="AI235" s="96">
        <f t="shared" si="664"/>
        <v>560</v>
      </c>
      <c r="AJ235" s="70">
        <f t="shared" si="664"/>
        <v>641</v>
      </c>
      <c r="AK235" s="70">
        <f t="shared" si="664"/>
        <v>0</v>
      </c>
      <c r="AL235" s="70">
        <f t="shared" si="664"/>
        <v>0</v>
      </c>
      <c r="AM235" s="70">
        <f t="shared" si="664"/>
        <v>1680.05</v>
      </c>
      <c r="AN235" s="70">
        <f t="shared" si="664"/>
        <v>1873.4</v>
      </c>
      <c r="AO235" s="70">
        <f t="shared" si="664"/>
        <v>0</v>
      </c>
      <c r="AP235" s="70">
        <f t="shared" si="664"/>
        <v>0</v>
      </c>
      <c r="AQ235" s="70">
        <f t="shared" si="664"/>
        <v>3360.05</v>
      </c>
      <c r="AR235" s="70">
        <f t="shared" si="664"/>
        <v>3796.4</v>
      </c>
      <c r="AS235" s="70">
        <f t="shared" si="664"/>
        <v>0</v>
      </c>
      <c r="AT235" s="70">
        <f t="shared" si="664"/>
        <v>0</v>
      </c>
      <c r="AU235" s="70">
        <f t="shared" si="664"/>
        <v>1680.05</v>
      </c>
      <c r="AV235" s="70">
        <f t="shared" si="664"/>
        <v>1923.41</v>
      </c>
      <c r="AW235" s="70">
        <f t="shared" si="664"/>
        <v>0</v>
      </c>
      <c r="AX235" s="70">
        <f t="shared" si="664"/>
        <v>0</v>
      </c>
      <c r="AY235" s="70">
        <f t="shared" si="664"/>
        <v>5600.1</v>
      </c>
      <c r="AZ235" s="70">
        <f t="shared" si="664"/>
        <v>6360.81</v>
      </c>
      <c r="BA235" s="70">
        <f t="shared" si="664"/>
        <v>11960.91</v>
      </c>
      <c r="BB235" s="70">
        <f t="shared" si="664"/>
        <v>5524.79</v>
      </c>
      <c r="BC235" s="70">
        <f t="shared" si="664"/>
        <v>6677.92</v>
      </c>
      <c r="BD235" s="70">
        <f t="shared" si="664"/>
        <v>75.3100000000004</v>
      </c>
      <c r="BE235" s="70">
        <f t="shared" si="664"/>
        <v>-317.10999999999967</v>
      </c>
      <c r="BF235" s="70">
        <f t="shared" si="664"/>
        <v>1104.96</v>
      </c>
      <c r="BG235" s="96">
        <f t="shared" si="664"/>
        <v>1335.58</v>
      </c>
      <c r="BH235" s="96">
        <f t="shared" si="664"/>
        <v>514.83000000000004</v>
      </c>
      <c r="BI235" s="96">
        <f t="shared" si="664"/>
        <v>776.35</v>
      </c>
      <c r="BJ235" s="96">
        <f t="shared" si="664"/>
        <v>0</v>
      </c>
      <c r="BK235" s="96">
        <f t="shared" si="664"/>
        <v>0</v>
      </c>
      <c r="BL235" s="96">
        <f t="shared" si="664"/>
        <v>6114.93</v>
      </c>
      <c r="BM235" s="96">
        <f t="shared" si="664"/>
        <v>7137.1600000000008</v>
      </c>
      <c r="BN235" s="96">
        <f t="shared" si="664"/>
        <v>13252.09</v>
      </c>
      <c r="BO235" s="96">
        <f t="shared" si="664"/>
        <v>6090.08</v>
      </c>
      <c r="BP235" s="96">
        <f t="shared" si="664"/>
        <v>7297.64</v>
      </c>
      <c r="BQ235" s="70">
        <f t="shared" si="664"/>
        <v>24.850000000000364</v>
      </c>
      <c r="BR235" s="70">
        <f t="shared" si="664"/>
        <v>-160.47999999999956</v>
      </c>
      <c r="BS235" s="70">
        <f t="shared" si="664"/>
        <v>553.64</v>
      </c>
      <c r="BT235" s="70">
        <f t="shared" si="664"/>
        <v>663.42</v>
      </c>
      <c r="BU235" s="70">
        <f t="shared" si="664"/>
        <v>528.78999999999962</v>
      </c>
      <c r="BV235" s="70">
        <f t="shared" si="664"/>
        <v>823.9</v>
      </c>
      <c r="BW235" s="70">
        <f t="shared" si="664"/>
        <v>76.28</v>
      </c>
      <c r="BX235" s="70">
        <f t="shared" si="664"/>
        <v>138.94</v>
      </c>
      <c r="BY235" s="70">
        <f t="shared" si="664"/>
        <v>0</v>
      </c>
      <c r="BZ235" s="70">
        <f t="shared" si="664"/>
        <v>0</v>
      </c>
      <c r="CA235" s="70">
        <f t="shared" si="664"/>
        <v>6720</v>
      </c>
      <c r="CB235" s="70">
        <f t="shared" si="664"/>
        <v>8100</v>
      </c>
      <c r="CC235" s="70">
        <f t="shared" si="664"/>
        <v>7392</v>
      </c>
      <c r="CD235" s="70">
        <f t="shared" si="664"/>
        <v>9315</v>
      </c>
      <c r="CE235" s="70">
        <f t="shared" si="664"/>
        <v>616</v>
      </c>
      <c r="CF235" s="70">
        <f t="shared" si="664"/>
        <v>776</v>
      </c>
      <c r="CG235" s="70">
        <f t="shared" si="664"/>
        <v>1680</v>
      </c>
      <c r="CH235" s="96">
        <f t="shared" si="664"/>
        <v>2025</v>
      </c>
      <c r="CI235" s="70">
        <f t="shared" si="664"/>
        <v>0</v>
      </c>
      <c r="CJ235" s="70">
        <f t="shared" si="664"/>
        <v>0</v>
      </c>
      <c r="CK235" s="70">
        <f t="shared" si="664"/>
        <v>1840</v>
      </c>
      <c r="CL235" s="70">
        <f t="shared" si="664"/>
        <v>2180</v>
      </c>
      <c r="CM235" s="70">
        <f t="shared" si="664"/>
        <v>0</v>
      </c>
      <c r="CN235" s="70">
        <f t="shared" si="664"/>
        <v>0</v>
      </c>
      <c r="CO235" s="70">
        <f t="shared" si="664"/>
        <v>7350</v>
      </c>
      <c r="CP235" s="70">
        <f t="shared" si="664"/>
        <v>8400</v>
      </c>
      <c r="CQ235" s="70">
        <f t="shared" si="664"/>
        <v>7360</v>
      </c>
      <c r="CR235" s="70">
        <f t="shared" ref="CR235:EZ235" si="665">+CR233+CR234</f>
        <v>8720</v>
      </c>
      <c r="CS235" s="70">
        <f t="shared" si="665"/>
        <v>7350</v>
      </c>
      <c r="CT235" s="70">
        <f t="shared" si="665"/>
        <v>8400</v>
      </c>
      <c r="CU235" s="70">
        <f t="shared" si="665"/>
        <v>7350</v>
      </c>
      <c r="CV235" s="70">
        <f t="shared" si="665"/>
        <v>8400</v>
      </c>
      <c r="CW235" s="70">
        <f t="shared" si="665"/>
        <v>1837.5</v>
      </c>
      <c r="CX235" s="70">
        <f t="shared" si="665"/>
        <v>2100</v>
      </c>
      <c r="CY235" s="70">
        <f t="shared" si="665"/>
        <v>0</v>
      </c>
      <c r="CZ235" s="70">
        <f t="shared" si="665"/>
        <v>0</v>
      </c>
      <c r="DA235" s="70">
        <f t="shared" si="665"/>
        <v>4293.5</v>
      </c>
      <c r="DB235" s="70">
        <f t="shared" si="665"/>
        <v>5056</v>
      </c>
      <c r="DC235" s="70">
        <f t="shared" si="665"/>
        <v>4120.47</v>
      </c>
      <c r="DD235" s="70">
        <f t="shared" si="665"/>
        <v>5112.4799999999996</v>
      </c>
      <c r="DE235" s="70">
        <f t="shared" si="665"/>
        <v>173.02999999999975</v>
      </c>
      <c r="DF235" s="70">
        <f t="shared" si="665"/>
        <v>-56.479999999999563</v>
      </c>
      <c r="DG235" s="70">
        <f t="shared" si="665"/>
        <v>1837.5</v>
      </c>
      <c r="DH235" s="70">
        <f t="shared" si="665"/>
        <v>2100</v>
      </c>
      <c r="DI235" s="70">
        <f t="shared" si="665"/>
        <v>1664.4700000000003</v>
      </c>
      <c r="DJ235" s="70">
        <f t="shared" si="665"/>
        <v>2156.4799999999996</v>
      </c>
      <c r="DK235" s="70">
        <f t="shared" si="665"/>
        <v>0</v>
      </c>
      <c r="DL235" s="70">
        <f t="shared" si="665"/>
        <v>0</v>
      </c>
      <c r="DM235" s="70">
        <f t="shared" si="665"/>
        <v>5957.97</v>
      </c>
      <c r="DN235" s="70">
        <f t="shared" si="665"/>
        <v>7212.48</v>
      </c>
      <c r="DO235" s="70">
        <f t="shared" si="665"/>
        <v>5961.83</v>
      </c>
      <c r="DP235" s="70">
        <f t="shared" si="665"/>
        <v>7356.29</v>
      </c>
      <c r="DQ235" s="70">
        <f t="shared" si="665"/>
        <v>-3.86</v>
      </c>
      <c r="DR235" s="70">
        <f t="shared" si="665"/>
        <v>-143.81</v>
      </c>
      <c r="DS235" s="70">
        <f t="shared" si="665"/>
        <v>596.18299999999999</v>
      </c>
      <c r="DT235" s="70">
        <f t="shared" si="665"/>
        <v>735.62900000000002</v>
      </c>
      <c r="DU235" s="70">
        <f t="shared" si="665"/>
        <v>600.04300000000001</v>
      </c>
      <c r="DV235" s="70">
        <f t="shared" si="665"/>
        <v>879.43900000000008</v>
      </c>
      <c r="DW235" s="70">
        <f t="shared" si="665"/>
        <v>0</v>
      </c>
      <c r="DX235" s="70">
        <f t="shared" si="665"/>
        <v>0</v>
      </c>
      <c r="DY235" s="70">
        <f t="shared" si="665"/>
        <v>600.04</v>
      </c>
      <c r="DZ235" s="70">
        <f t="shared" si="665"/>
        <v>879.44</v>
      </c>
      <c r="EA235" s="70">
        <f t="shared" si="665"/>
        <v>0</v>
      </c>
      <c r="EB235" s="96">
        <f t="shared" si="665"/>
        <v>0</v>
      </c>
      <c r="EC235" s="70">
        <f t="shared" si="665"/>
        <v>6558.01</v>
      </c>
      <c r="ED235" s="70">
        <f t="shared" si="665"/>
        <v>8091.92</v>
      </c>
      <c r="EE235" s="70">
        <f t="shared" si="665"/>
        <v>6557.66</v>
      </c>
      <c r="EF235" s="70">
        <f t="shared" si="665"/>
        <v>7945.45</v>
      </c>
      <c r="EG235" s="70" t="e">
        <f t="shared" si="665"/>
        <v>#DIV/0!</v>
      </c>
      <c r="EH235" s="70" t="e">
        <f t="shared" si="665"/>
        <v>#DIV/0!</v>
      </c>
      <c r="EI235" s="70">
        <f t="shared" si="665"/>
        <v>0.35</v>
      </c>
      <c r="EJ235" s="70">
        <f t="shared" si="665"/>
        <v>146.47</v>
      </c>
      <c r="EK235" s="70">
        <f t="shared" si="665"/>
        <v>596.15</v>
      </c>
      <c r="EL235" s="70">
        <f t="shared" si="665"/>
        <v>722.31</v>
      </c>
      <c r="EM235" s="70">
        <f t="shared" si="665"/>
        <v>595.79999999999995</v>
      </c>
      <c r="EN235" s="70">
        <f t="shared" si="665"/>
        <v>575.83999999999992</v>
      </c>
      <c r="EO235" s="70">
        <f t="shared" si="665"/>
        <v>575</v>
      </c>
      <c r="EP235" s="70">
        <f t="shared" si="665"/>
        <v>400</v>
      </c>
      <c r="EQ235" s="66">
        <f t="shared" si="665"/>
        <v>0</v>
      </c>
      <c r="ER235" s="46">
        <f t="shared" si="665"/>
        <v>0</v>
      </c>
      <c r="ES235" s="46">
        <f t="shared" si="665"/>
        <v>0</v>
      </c>
      <c r="ET235" s="46">
        <f t="shared" si="665"/>
        <v>0</v>
      </c>
      <c r="EU235" s="5">
        <f t="shared" si="642"/>
        <v>466.98999999999978</v>
      </c>
      <c r="EV235" s="5">
        <f t="shared" si="642"/>
        <v>203.07999999999993</v>
      </c>
      <c r="EW235" s="46">
        <f t="shared" si="665"/>
        <v>7600</v>
      </c>
      <c r="EX235" s="46">
        <f t="shared" si="665"/>
        <v>8695</v>
      </c>
      <c r="EY235" s="46">
        <f t="shared" si="665"/>
        <v>8300</v>
      </c>
      <c r="EZ235" s="46">
        <f t="shared" si="665"/>
        <v>8800</v>
      </c>
    </row>
    <row r="236" spans="1:159" ht="18.75" x14ac:dyDescent="0.25">
      <c r="A236" s="37">
        <v>9</v>
      </c>
      <c r="B236" s="37"/>
      <c r="C236" s="91" t="s">
        <v>136</v>
      </c>
      <c r="D236" s="38" t="s">
        <v>495</v>
      </c>
      <c r="E236" s="39"/>
      <c r="F236" s="40">
        <v>1382.9899999999998</v>
      </c>
      <c r="G236" s="40">
        <v>155.43</v>
      </c>
      <c r="H236" s="40">
        <v>1382.9899999999998</v>
      </c>
      <c r="I236" s="40">
        <v>155.43</v>
      </c>
      <c r="J236" s="41">
        <v>1600</v>
      </c>
      <c r="K236" s="41"/>
      <c r="L236" s="41">
        <v>0.5</v>
      </c>
      <c r="M236" s="41">
        <f t="shared" ref="M236:M237" si="666">J236+K236+L236</f>
        <v>1600.5</v>
      </c>
      <c r="N236" s="41">
        <v>0</v>
      </c>
      <c r="O236" s="41">
        <v>0</v>
      </c>
      <c r="P236" s="41">
        <v>0</v>
      </c>
      <c r="Q236" s="41">
        <f t="shared" ref="Q236:Q237" si="667">N236+O236+P236</f>
        <v>0</v>
      </c>
      <c r="R236" s="41">
        <f t="shared" ref="R236:R237" si="668">+Q236+M236</f>
        <v>1600.5</v>
      </c>
      <c r="S236" s="41">
        <v>240</v>
      </c>
      <c r="T236" s="92"/>
      <c r="U236" s="92"/>
      <c r="V236" s="40">
        <f t="shared" ref="V236:V237" si="669">ROUND(H236*1.0583,2)</f>
        <v>1463.62</v>
      </c>
      <c r="W236" s="40">
        <f t="shared" ref="W236:W237" si="670">ROUND(I236*1.0327,2)</f>
        <v>160.51</v>
      </c>
      <c r="X236" s="43">
        <f t="shared" si="529"/>
        <v>136.88000000000011</v>
      </c>
      <c r="Y236" s="43">
        <f t="shared" si="529"/>
        <v>79.490000000000009</v>
      </c>
      <c r="Z236" s="43">
        <v>1463.62</v>
      </c>
      <c r="AA236" s="43"/>
      <c r="AB236" s="43">
        <f t="shared" si="547"/>
        <v>1463.62</v>
      </c>
      <c r="AC236" s="43">
        <f t="shared" si="548"/>
        <v>0</v>
      </c>
      <c r="AD236" s="43">
        <f t="shared" ref="AD236:AE237" si="671">IF(X236&gt;0,V236,R236)</f>
        <v>1463.62</v>
      </c>
      <c r="AE236" s="43">
        <f t="shared" si="671"/>
        <v>160.51</v>
      </c>
      <c r="AF236" s="43">
        <f t="shared" si="570"/>
        <v>216.53</v>
      </c>
      <c r="AG236" s="43">
        <f t="shared" si="530"/>
        <v>366</v>
      </c>
      <c r="AH236" s="43">
        <f t="shared" si="530"/>
        <v>40</v>
      </c>
      <c r="AI236" s="93">
        <f t="shared" si="531"/>
        <v>122</v>
      </c>
      <c r="AJ236" s="43">
        <f t="shared" si="531"/>
        <v>13</v>
      </c>
      <c r="AK236" s="43"/>
      <c r="AL236" s="43"/>
      <c r="AM236" s="43">
        <f t="shared" si="571"/>
        <v>365.91</v>
      </c>
      <c r="AN236" s="43">
        <f t="shared" si="572"/>
        <v>39.08</v>
      </c>
      <c r="AO236" s="43"/>
      <c r="AP236" s="43"/>
      <c r="AQ236" s="43">
        <f t="shared" si="532"/>
        <v>731.91000000000008</v>
      </c>
      <c r="AR236" s="43">
        <f t="shared" si="532"/>
        <v>79.08</v>
      </c>
      <c r="AS236" s="43"/>
      <c r="AT236" s="43"/>
      <c r="AU236" s="43">
        <f t="shared" si="623"/>
        <v>365.91</v>
      </c>
      <c r="AV236" s="43">
        <f t="shared" si="623"/>
        <v>40.130000000000003</v>
      </c>
      <c r="AW236" s="43">
        <v>150</v>
      </c>
      <c r="AX236" s="43"/>
      <c r="AY236" s="43">
        <f t="shared" si="520"/>
        <v>1369.8200000000002</v>
      </c>
      <c r="AZ236" s="43">
        <f t="shared" si="520"/>
        <v>132.21</v>
      </c>
      <c r="BA236" s="43">
        <f t="shared" si="521"/>
        <v>1502.0300000000002</v>
      </c>
      <c r="BB236" s="121">
        <v>1259.0999999999999</v>
      </c>
      <c r="BC236" s="60">
        <v>229.06</v>
      </c>
      <c r="BD236" s="60">
        <f t="shared" si="522"/>
        <v>110.72000000000025</v>
      </c>
      <c r="BE236" s="60">
        <f t="shared" si="522"/>
        <v>-96.85</v>
      </c>
      <c r="BF236" s="60">
        <f t="shared" si="523"/>
        <v>251.82</v>
      </c>
      <c r="BG236" s="60">
        <f t="shared" si="523"/>
        <v>45.81</v>
      </c>
      <c r="BH236" s="43">
        <v>70.55</v>
      </c>
      <c r="BI236" s="43">
        <v>62.5</v>
      </c>
      <c r="BJ236" s="43"/>
      <c r="BK236" s="43"/>
      <c r="BL236" s="43">
        <f t="shared" si="545"/>
        <v>1440.3700000000001</v>
      </c>
      <c r="BM236" s="43">
        <f t="shared" si="545"/>
        <v>194.71</v>
      </c>
      <c r="BN236" s="43">
        <f t="shared" si="573"/>
        <v>1635.0800000000002</v>
      </c>
      <c r="BO236" s="43">
        <v>1383.92</v>
      </c>
      <c r="BP236" s="93">
        <v>268.27</v>
      </c>
      <c r="BQ236" s="43">
        <f t="shared" si="549"/>
        <v>56.450000000000045</v>
      </c>
      <c r="BR236" s="43">
        <f t="shared" si="549"/>
        <v>-73.559999999999974</v>
      </c>
      <c r="BS236" s="43">
        <f t="shared" si="550"/>
        <v>125.81</v>
      </c>
      <c r="BT236" s="43">
        <f t="shared" si="550"/>
        <v>24.39</v>
      </c>
      <c r="BU236" s="43">
        <f t="shared" si="583"/>
        <v>69.359999999999957</v>
      </c>
      <c r="BV236" s="43">
        <v>82.95</v>
      </c>
      <c r="BW236" s="43">
        <v>100</v>
      </c>
      <c r="BX236" s="43">
        <v>45</v>
      </c>
      <c r="BY236" s="43"/>
      <c r="BZ236" s="43"/>
      <c r="CA236" s="43">
        <v>1609.73</v>
      </c>
      <c r="CB236" s="43">
        <v>322.66000000000003</v>
      </c>
      <c r="CC236" s="92">
        <v>1770.7</v>
      </c>
      <c r="CD236" s="92">
        <v>371.06</v>
      </c>
      <c r="CE236" s="92">
        <v>148</v>
      </c>
      <c r="CF236" s="92">
        <v>31</v>
      </c>
      <c r="CG236" s="92">
        <f t="shared" si="551"/>
        <v>402.43</v>
      </c>
      <c r="CH236" s="92">
        <f t="shared" si="551"/>
        <v>80.67</v>
      </c>
      <c r="CI236" s="43"/>
      <c r="CJ236" s="43"/>
      <c r="CK236" s="43">
        <v>415</v>
      </c>
      <c r="CL236" s="72">
        <f>100-20-0.02</f>
        <v>79.98</v>
      </c>
      <c r="CM236" s="72"/>
      <c r="CN236" s="72"/>
      <c r="CO236" s="43">
        <v>1683.5</v>
      </c>
      <c r="CP236" s="43">
        <v>200</v>
      </c>
      <c r="CQ236" s="43">
        <f t="shared" si="552"/>
        <v>1660</v>
      </c>
      <c r="CR236" s="43">
        <f t="shared" si="552"/>
        <v>319.92</v>
      </c>
      <c r="CS236" s="43">
        <f t="shared" si="553"/>
        <v>1660</v>
      </c>
      <c r="CT236" s="43">
        <f t="shared" si="553"/>
        <v>200</v>
      </c>
      <c r="CU236" s="43">
        <f t="shared" si="553"/>
        <v>1660</v>
      </c>
      <c r="CV236" s="43">
        <f t="shared" si="553"/>
        <v>200</v>
      </c>
      <c r="CW236" s="43">
        <f t="shared" si="554"/>
        <v>415</v>
      </c>
      <c r="CX236" s="43">
        <f>ROUND(CV236*25%,2)-30</f>
        <v>20</v>
      </c>
      <c r="CY236" s="43"/>
      <c r="CZ236" s="43"/>
      <c r="DA236" s="43">
        <f t="shared" si="555"/>
        <v>978</v>
      </c>
      <c r="DB236" s="43">
        <f t="shared" si="555"/>
        <v>130.98000000000002</v>
      </c>
      <c r="DC236" s="43">
        <v>905.58</v>
      </c>
      <c r="DD236" s="43">
        <v>96.66</v>
      </c>
      <c r="DE236" s="43">
        <f t="shared" si="556"/>
        <v>72.419999999999959</v>
      </c>
      <c r="DF236" s="43">
        <f t="shared" si="556"/>
        <v>34.320000000000022</v>
      </c>
      <c r="DG236" s="43">
        <f>ROUND(0.25*(MIN(CU236,EW236)),2)</f>
        <v>415</v>
      </c>
      <c r="DH236" s="43">
        <f>ROUND(0.25*(MIN(CV236,EX236)),2)</f>
        <v>50</v>
      </c>
      <c r="DI236" s="43">
        <f>+DG236-DE236</f>
        <v>342.58000000000004</v>
      </c>
      <c r="DJ236" s="43">
        <f>+DH236-DF236</f>
        <v>15.679999999999978</v>
      </c>
      <c r="DK236" s="43"/>
      <c r="DL236" s="43"/>
      <c r="DM236" s="43">
        <f t="shared" si="558"/>
        <v>1320.58</v>
      </c>
      <c r="DN236" s="43">
        <f t="shared" si="558"/>
        <v>146.66</v>
      </c>
      <c r="DO236" s="94">
        <v>1306.9100000000001</v>
      </c>
      <c r="DP236" s="103">
        <v>98.38</v>
      </c>
      <c r="DQ236" s="60">
        <f t="shared" si="559"/>
        <v>13.67</v>
      </c>
      <c r="DR236" s="60">
        <f t="shared" si="559"/>
        <v>48.28</v>
      </c>
      <c r="DS236" s="60">
        <f t="shared" si="560"/>
        <v>130.691</v>
      </c>
      <c r="DT236" s="60">
        <f t="shared" si="560"/>
        <v>9.8379999999999992</v>
      </c>
      <c r="DU236" s="60">
        <f t="shared" si="561"/>
        <v>117.021</v>
      </c>
      <c r="DV236" s="60">
        <f t="shared" si="561"/>
        <v>-38.442</v>
      </c>
      <c r="DW236" s="60"/>
      <c r="DX236" s="60"/>
      <c r="DY236" s="60">
        <f t="shared" si="569"/>
        <v>117.02</v>
      </c>
      <c r="DZ236" s="60">
        <v>0</v>
      </c>
      <c r="EA236" s="60"/>
      <c r="EB236" s="60"/>
      <c r="EC236" s="43">
        <f t="shared" si="562"/>
        <v>1437.6</v>
      </c>
      <c r="ED236" s="43">
        <f t="shared" si="562"/>
        <v>146.66</v>
      </c>
      <c r="EE236" s="43">
        <v>1455.74</v>
      </c>
      <c r="EF236" s="43">
        <v>103.09</v>
      </c>
      <c r="EG236" s="43">
        <f t="shared" si="607"/>
        <v>101.26</v>
      </c>
      <c r="EH236" s="43">
        <f t="shared" si="607"/>
        <v>70.290000000000006</v>
      </c>
      <c r="EI236" s="43">
        <f t="shared" si="563"/>
        <v>-18.14</v>
      </c>
      <c r="EJ236" s="43">
        <f t="shared" si="563"/>
        <v>43.57</v>
      </c>
      <c r="EK236" s="43">
        <f t="shared" si="564"/>
        <v>132.34</v>
      </c>
      <c r="EL236" s="43">
        <f t="shared" si="564"/>
        <v>9.3699999999999992</v>
      </c>
      <c r="EM236" s="43">
        <f t="shared" si="565"/>
        <v>150.48000000000002</v>
      </c>
      <c r="EN236" s="43">
        <f t="shared" si="565"/>
        <v>-34.200000000000003</v>
      </c>
      <c r="EO236" s="43">
        <v>168.14</v>
      </c>
      <c r="EP236" s="43">
        <v>0</v>
      </c>
      <c r="EQ236" s="5"/>
      <c r="ER236" s="5"/>
      <c r="ES236" s="5"/>
      <c r="ET236" s="5"/>
      <c r="EU236" s="5">
        <f t="shared" si="642"/>
        <v>54.260000000000105</v>
      </c>
      <c r="EV236" s="5">
        <f t="shared" si="642"/>
        <v>53.34</v>
      </c>
      <c r="EW236" s="5">
        <v>1660</v>
      </c>
      <c r="EX236" s="5">
        <v>200</v>
      </c>
      <c r="EY236" s="5">
        <v>1909</v>
      </c>
      <c r="EZ236" s="5">
        <v>230</v>
      </c>
    </row>
    <row r="237" spans="1:159" ht="18.75" x14ac:dyDescent="0.25">
      <c r="A237" s="37">
        <v>10</v>
      </c>
      <c r="B237" s="37"/>
      <c r="C237" s="91" t="s">
        <v>136</v>
      </c>
      <c r="D237" s="38" t="s">
        <v>496</v>
      </c>
      <c r="E237" s="39"/>
      <c r="F237" s="40">
        <v>0</v>
      </c>
      <c r="G237" s="40">
        <v>0</v>
      </c>
      <c r="H237" s="40">
        <v>0</v>
      </c>
      <c r="I237" s="40">
        <v>0</v>
      </c>
      <c r="J237" s="41">
        <v>0</v>
      </c>
      <c r="K237" s="41">
        <v>0</v>
      </c>
      <c r="L237" s="41">
        <v>0</v>
      </c>
      <c r="M237" s="41">
        <f t="shared" si="666"/>
        <v>0</v>
      </c>
      <c r="N237" s="41">
        <v>0</v>
      </c>
      <c r="O237" s="41">
        <v>0</v>
      </c>
      <c r="P237" s="41">
        <v>0</v>
      </c>
      <c r="Q237" s="41">
        <f t="shared" si="667"/>
        <v>0</v>
      </c>
      <c r="R237" s="41">
        <f t="shared" si="668"/>
        <v>0</v>
      </c>
      <c r="S237" s="41">
        <v>0</v>
      </c>
      <c r="T237" s="92"/>
      <c r="U237" s="92"/>
      <c r="V237" s="40">
        <f t="shared" si="669"/>
        <v>0</v>
      </c>
      <c r="W237" s="40">
        <f t="shared" si="670"/>
        <v>0</v>
      </c>
      <c r="X237" s="43">
        <f t="shared" si="529"/>
        <v>0</v>
      </c>
      <c r="Y237" s="43">
        <f t="shared" si="529"/>
        <v>0</v>
      </c>
      <c r="Z237" s="43">
        <v>0</v>
      </c>
      <c r="AA237" s="43"/>
      <c r="AB237" s="43">
        <f t="shared" si="547"/>
        <v>0</v>
      </c>
      <c r="AC237" s="43">
        <f t="shared" si="548"/>
        <v>0</v>
      </c>
      <c r="AD237" s="43">
        <f t="shared" si="671"/>
        <v>0</v>
      </c>
      <c r="AE237" s="43">
        <f t="shared" si="671"/>
        <v>0</v>
      </c>
      <c r="AF237" s="43">
        <f t="shared" si="570"/>
        <v>0</v>
      </c>
      <c r="AG237" s="43">
        <f t="shared" si="530"/>
        <v>0</v>
      </c>
      <c r="AH237" s="43">
        <f t="shared" si="530"/>
        <v>0</v>
      </c>
      <c r="AI237" s="93">
        <f t="shared" si="531"/>
        <v>0</v>
      </c>
      <c r="AJ237" s="43">
        <f t="shared" si="531"/>
        <v>0</v>
      </c>
      <c r="AK237" s="43"/>
      <c r="AL237" s="43"/>
      <c r="AM237" s="43">
        <f t="shared" si="571"/>
        <v>0</v>
      </c>
      <c r="AN237" s="43">
        <f t="shared" si="572"/>
        <v>0</v>
      </c>
      <c r="AO237" s="43"/>
      <c r="AP237" s="43"/>
      <c r="AQ237" s="43">
        <f t="shared" si="532"/>
        <v>0</v>
      </c>
      <c r="AR237" s="43">
        <f t="shared" si="532"/>
        <v>0</v>
      </c>
      <c r="AS237" s="43"/>
      <c r="AT237" s="43"/>
      <c r="AU237" s="43">
        <f t="shared" si="623"/>
        <v>0</v>
      </c>
      <c r="AV237" s="43">
        <f t="shared" si="623"/>
        <v>0</v>
      </c>
      <c r="AW237" s="43"/>
      <c r="AX237" s="43"/>
      <c r="AY237" s="43">
        <f t="shared" si="520"/>
        <v>0</v>
      </c>
      <c r="AZ237" s="43">
        <f t="shared" si="520"/>
        <v>0</v>
      </c>
      <c r="BA237" s="43">
        <f t="shared" si="521"/>
        <v>0</v>
      </c>
      <c r="BB237" s="121">
        <v>0</v>
      </c>
      <c r="BC237" s="60"/>
      <c r="BD237" s="60">
        <f t="shared" si="522"/>
        <v>0</v>
      </c>
      <c r="BE237" s="60">
        <f t="shared" si="522"/>
        <v>0</v>
      </c>
      <c r="BF237" s="60">
        <f t="shared" si="523"/>
        <v>0</v>
      </c>
      <c r="BG237" s="60">
        <f t="shared" si="523"/>
        <v>0</v>
      </c>
      <c r="BH237" s="43">
        <v>0</v>
      </c>
      <c r="BI237" s="43">
        <v>0</v>
      </c>
      <c r="BJ237" s="43"/>
      <c r="BK237" s="43"/>
      <c r="BL237" s="43">
        <f t="shared" si="545"/>
        <v>0</v>
      </c>
      <c r="BM237" s="43">
        <f t="shared" si="545"/>
        <v>0</v>
      </c>
      <c r="BN237" s="43">
        <f t="shared" si="573"/>
        <v>0</v>
      </c>
      <c r="BO237" s="43">
        <v>0</v>
      </c>
      <c r="BP237" s="93"/>
      <c r="BQ237" s="43">
        <f t="shared" si="549"/>
        <v>0</v>
      </c>
      <c r="BR237" s="43">
        <f t="shared" si="549"/>
        <v>0</v>
      </c>
      <c r="BS237" s="43">
        <f t="shared" si="550"/>
        <v>0</v>
      </c>
      <c r="BT237" s="43">
        <f t="shared" si="550"/>
        <v>0</v>
      </c>
      <c r="BU237" s="43">
        <f t="shared" si="583"/>
        <v>0</v>
      </c>
      <c r="BV237" s="43">
        <f t="shared" si="662"/>
        <v>0</v>
      </c>
      <c r="BW237" s="43"/>
      <c r="BX237" s="43"/>
      <c r="BY237" s="43"/>
      <c r="BZ237" s="43"/>
      <c r="CA237" s="43">
        <v>0</v>
      </c>
      <c r="CB237" s="43">
        <v>0</v>
      </c>
      <c r="CC237" s="92">
        <v>0</v>
      </c>
      <c r="CD237" s="92">
        <v>0</v>
      </c>
      <c r="CE237" s="92">
        <v>0</v>
      </c>
      <c r="CF237" s="92">
        <v>0</v>
      </c>
      <c r="CG237" s="92">
        <f t="shared" si="551"/>
        <v>0</v>
      </c>
      <c r="CH237" s="92">
        <f t="shared" si="551"/>
        <v>0</v>
      </c>
      <c r="CI237" s="43"/>
      <c r="CJ237" s="43"/>
      <c r="CK237" s="43">
        <v>0</v>
      </c>
      <c r="CL237" s="43">
        <v>0</v>
      </c>
      <c r="CM237" s="43"/>
      <c r="CN237" s="43"/>
      <c r="CO237" s="43"/>
      <c r="CP237" s="43"/>
      <c r="CQ237" s="43">
        <f t="shared" si="552"/>
        <v>0</v>
      </c>
      <c r="CR237" s="43">
        <f t="shared" si="552"/>
        <v>0</v>
      </c>
      <c r="CS237" s="43">
        <f t="shared" si="553"/>
        <v>0</v>
      </c>
      <c r="CT237" s="43">
        <f t="shared" si="553"/>
        <v>0</v>
      </c>
      <c r="CU237" s="43">
        <f t="shared" si="553"/>
        <v>0</v>
      </c>
      <c r="CV237" s="43">
        <f t="shared" si="553"/>
        <v>0</v>
      </c>
      <c r="CW237" s="43">
        <f t="shared" si="554"/>
        <v>0</v>
      </c>
      <c r="CX237" s="43">
        <f t="shared" si="554"/>
        <v>0</v>
      </c>
      <c r="CY237" s="43"/>
      <c r="CZ237" s="43"/>
      <c r="DA237" s="43">
        <f t="shared" si="555"/>
        <v>0</v>
      </c>
      <c r="DB237" s="43">
        <f t="shared" si="555"/>
        <v>0</v>
      </c>
      <c r="DC237" s="43">
        <v>0</v>
      </c>
      <c r="DD237" s="43">
        <v>0</v>
      </c>
      <c r="DE237" s="43">
        <f t="shared" si="556"/>
        <v>0</v>
      </c>
      <c r="DF237" s="43">
        <f t="shared" si="556"/>
        <v>0</v>
      </c>
      <c r="DG237" s="43">
        <f>ROUND(0.25*(MIN(CU237,EW237)),2)</f>
        <v>0</v>
      </c>
      <c r="DH237" s="43">
        <f>ROUND(0.25*(MIN(CV237,EX237)),2)</f>
        <v>0</v>
      </c>
      <c r="DI237" s="43">
        <f>+DG237-DE237</f>
        <v>0</v>
      </c>
      <c r="DJ237" s="43">
        <f>+DH237-DF237</f>
        <v>0</v>
      </c>
      <c r="DK237" s="43"/>
      <c r="DL237" s="43"/>
      <c r="DM237" s="43">
        <f t="shared" si="558"/>
        <v>0</v>
      </c>
      <c r="DN237" s="43">
        <f t="shared" si="558"/>
        <v>0</v>
      </c>
      <c r="DO237" s="94">
        <v>0</v>
      </c>
      <c r="DP237" s="103">
        <v>0</v>
      </c>
      <c r="DQ237" s="60">
        <f t="shared" si="559"/>
        <v>0</v>
      </c>
      <c r="DR237" s="60">
        <f t="shared" si="559"/>
        <v>0</v>
      </c>
      <c r="DS237" s="60">
        <f t="shared" si="560"/>
        <v>0</v>
      </c>
      <c r="DT237" s="60">
        <f t="shared" si="560"/>
        <v>0</v>
      </c>
      <c r="DU237" s="60">
        <f t="shared" si="561"/>
        <v>0</v>
      </c>
      <c r="DV237" s="60">
        <f t="shared" si="561"/>
        <v>0</v>
      </c>
      <c r="DW237" s="60"/>
      <c r="DX237" s="60"/>
      <c r="DY237" s="60">
        <f t="shared" si="569"/>
        <v>0</v>
      </c>
      <c r="DZ237" s="60">
        <f t="shared" si="569"/>
        <v>0</v>
      </c>
      <c r="EA237" s="60"/>
      <c r="EB237" s="60"/>
      <c r="EC237" s="43">
        <f t="shared" si="562"/>
        <v>0</v>
      </c>
      <c r="ED237" s="43">
        <f t="shared" si="562"/>
        <v>0</v>
      </c>
      <c r="EE237" s="43"/>
      <c r="EF237" s="43"/>
      <c r="EG237" s="43" t="e">
        <f t="shared" si="607"/>
        <v>#DIV/0!</v>
      </c>
      <c r="EH237" s="43" t="e">
        <f t="shared" si="607"/>
        <v>#DIV/0!</v>
      </c>
      <c r="EI237" s="43">
        <f t="shared" si="563"/>
        <v>0</v>
      </c>
      <c r="EJ237" s="43">
        <f t="shared" si="563"/>
        <v>0</v>
      </c>
      <c r="EK237" s="43">
        <f t="shared" si="564"/>
        <v>0</v>
      </c>
      <c r="EL237" s="43">
        <f t="shared" si="564"/>
        <v>0</v>
      </c>
      <c r="EM237" s="43">
        <f t="shared" si="565"/>
        <v>0</v>
      </c>
      <c r="EN237" s="43">
        <f t="shared" si="565"/>
        <v>0</v>
      </c>
      <c r="EO237" s="43">
        <v>0</v>
      </c>
      <c r="EP237" s="43">
        <v>0</v>
      </c>
      <c r="EQ237" s="5"/>
      <c r="ER237" s="5"/>
      <c r="ES237" s="5"/>
      <c r="ET237" s="5"/>
      <c r="EU237" s="5">
        <f t="shared" si="642"/>
        <v>0</v>
      </c>
      <c r="EV237" s="5">
        <f t="shared" si="642"/>
        <v>0</v>
      </c>
      <c r="EW237" s="5">
        <v>0</v>
      </c>
      <c r="EX237" s="5">
        <v>0</v>
      </c>
      <c r="EY237" s="5">
        <v>0</v>
      </c>
      <c r="EZ237" s="5">
        <v>0</v>
      </c>
    </row>
    <row r="238" spans="1:159" ht="18.75" x14ac:dyDescent="0.25">
      <c r="A238" s="68"/>
      <c r="B238" s="68" t="s">
        <v>497</v>
      </c>
      <c r="C238" s="91" t="s">
        <v>136</v>
      </c>
      <c r="D238" s="67" t="s">
        <v>495</v>
      </c>
      <c r="E238" s="69" t="s">
        <v>498</v>
      </c>
      <c r="F238" s="70">
        <v>1382.9899999999998</v>
      </c>
      <c r="G238" s="70">
        <v>155.43</v>
      </c>
      <c r="H238" s="70">
        <v>1382.9899999999998</v>
      </c>
      <c r="I238" s="70">
        <v>155.43</v>
      </c>
      <c r="J238" s="71">
        <f t="shared" ref="J238:AA238" si="672">+J236+J237</f>
        <v>1600</v>
      </c>
      <c r="K238" s="71">
        <f t="shared" si="672"/>
        <v>0</v>
      </c>
      <c r="L238" s="71">
        <f t="shared" si="672"/>
        <v>0.5</v>
      </c>
      <c r="M238" s="71">
        <f t="shared" si="672"/>
        <v>1600.5</v>
      </c>
      <c r="N238" s="71">
        <f t="shared" si="672"/>
        <v>0</v>
      </c>
      <c r="O238" s="71">
        <f t="shared" si="672"/>
        <v>0</v>
      </c>
      <c r="P238" s="71">
        <f t="shared" si="672"/>
        <v>0</v>
      </c>
      <c r="Q238" s="71">
        <f t="shared" si="672"/>
        <v>0</v>
      </c>
      <c r="R238" s="71">
        <f t="shared" si="672"/>
        <v>1600.5</v>
      </c>
      <c r="S238" s="71">
        <f t="shared" si="672"/>
        <v>240</v>
      </c>
      <c r="T238" s="71">
        <f t="shared" si="672"/>
        <v>0</v>
      </c>
      <c r="U238" s="71">
        <f t="shared" si="672"/>
        <v>0</v>
      </c>
      <c r="V238" s="71">
        <f t="shared" si="672"/>
        <v>1463.62</v>
      </c>
      <c r="W238" s="71">
        <f t="shared" si="672"/>
        <v>160.51</v>
      </c>
      <c r="X238" s="71">
        <f t="shared" si="672"/>
        <v>136.88000000000011</v>
      </c>
      <c r="Y238" s="71">
        <f t="shared" si="672"/>
        <v>79.490000000000009</v>
      </c>
      <c r="Z238" s="71">
        <f t="shared" si="672"/>
        <v>1463.62</v>
      </c>
      <c r="AA238" s="71">
        <f t="shared" si="672"/>
        <v>0</v>
      </c>
      <c r="AB238" s="70">
        <f t="shared" si="547"/>
        <v>1463.62</v>
      </c>
      <c r="AC238" s="43">
        <f t="shared" si="548"/>
        <v>0</v>
      </c>
      <c r="AD238" s="70">
        <f t="shared" ref="AD238:CQ238" si="673">+AD236+AD237</f>
        <v>1463.62</v>
      </c>
      <c r="AE238" s="70">
        <f t="shared" si="673"/>
        <v>160.51</v>
      </c>
      <c r="AF238" s="70">
        <f t="shared" si="673"/>
        <v>216.53</v>
      </c>
      <c r="AG238" s="70">
        <f t="shared" si="673"/>
        <v>366</v>
      </c>
      <c r="AH238" s="70">
        <f t="shared" si="673"/>
        <v>40</v>
      </c>
      <c r="AI238" s="96">
        <f t="shared" si="673"/>
        <v>122</v>
      </c>
      <c r="AJ238" s="70">
        <f t="shared" si="673"/>
        <v>13</v>
      </c>
      <c r="AK238" s="70">
        <f t="shared" si="673"/>
        <v>0</v>
      </c>
      <c r="AL238" s="70">
        <f t="shared" si="673"/>
        <v>0</v>
      </c>
      <c r="AM238" s="70">
        <f t="shared" si="673"/>
        <v>365.91</v>
      </c>
      <c r="AN238" s="70">
        <f t="shared" si="673"/>
        <v>39.08</v>
      </c>
      <c r="AO238" s="70">
        <f t="shared" si="673"/>
        <v>0</v>
      </c>
      <c r="AP238" s="70">
        <f t="shared" si="673"/>
        <v>0</v>
      </c>
      <c r="AQ238" s="70">
        <f t="shared" si="673"/>
        <v>731.91000000000008</v>
      </c>
      <c r="AR238" s="70">
        <f t="shared" si="673"/>
        <v>79.08</v>
      </c>
      <c r="AS238" s="70">
        <f t="shared" si="673"/>
        <v>0</v>
      </c>
      <c r="AT238" s="70">
        <f t="shared" si="673"/>
        <v>0</v>
      </c>
      <c r="AU238" s="70">
        <f t="shared" si="673"/>
        <v>365.91</v>
      </c>
      <c r="AV238" s="70">
        <f t="shared" si="673"/>
        <v>40.130000000000003</v>
      </c>
      <c r="AW238" s="70">
        <f t="shared" si="673"/>
        <v>150</v>
      </c>
      <c r="AX238" s="70">
        <f t="shared" si="673"/>
        <v>0</v>
      </c>
      <c r="AY238" s="70">
        <f t="shared" si="673"/>
        <v>1369.8200000000002</v>
      </c>
      <c r="AZ238" s="70">
        <f t="shared" si="673"/>
        <v>132.21</v>
      </c>
      <c r="BA238" s="70">
        <f t="shared" si="673"/>
        <v>1502.0300000000002</v>
      </c>
      <c r="BB238" s="70">
        <f t="shared" si="673"/>
        <v>1259.0999999999999</v>
      </c>
      <c r="BC238" s="70">
        <f t="shared" si="673"/>
        <v>229.06</v>
      </c>
      <c r="BD238" s="70">
        <f t="shared" si="673"/>
        <v>110.72000000000025</v>
      </c>
      <c r="BE238" s="70">
        <f t="shared" si="673"/>
        <v>-96.85</v>
      </c>
      <c r="BF238" s="70">
        <f t="shared" si="673"/>
        <v>251.82</v>
      </c>
      <c r="BG238" s="96">
        <f t="shared" si="673"/>
        <v>45.81</v>
      </c>
      <c r="BH238" s="96">
        <f t="shared" si="673"/>
        <v>70.55</v>
      </c>
      <c r="BI238" s="96">
        <f t="shared" si="673"/>
        <v>62.5</v>
      </c>
      <c r="BJ238" s="96">
        <f t="shared" si="673"/>
        <v>0</v>
      </c>
      <c r="BK238" s="96">
        <f t="shared" si="673"/>
        <v>0</v>
      </c>
      <c r="BL238" s="96">
        <f t="shared" si="673"/>
        <v>1440.3700000000001</v>
      </c>
      <c r="BM238" s="96">
        <f t="shared" si="673"/>
        <v>194.71</v>
      </c>
      <c r="BN238" s="96">
        <f t="shared" si="673"/>
        <v>1635.0800000000002</v>
      </c>
      <c r="BO238" s="96">
        <f t="shared" si="673"/>
        <v>1383.92</v>
      </c>
      <c r="BP238" s="96">
        <f t="shared" si="673"/>
        <v>268.27</v>
      </c>
      <c r="BQ238" s="70">
        <f t="shared" si="673"/>
        <v>56.450000000000045</v>
      </c>
      <c r="BR238" s="70">
        <f t="shared" si="673"/>
        <v>-73.559999999999974</v>
      </c>
      <c r="BS238" s="70">
        <f t="shared" si="673"/>
        <v>125.81</v>
      </c>
      <c r="BT238" s="70">
        <f t="shared" si="673"/>
        <v>24.39</v>
      </c>
      <c r="BU238" s="70">
        <f t="shared" si="673"/>
        <v>69.359999999999957</v>
      </c>
      <c r="BV238" s="70">
        <f t="shared" si="673"/>
        <v>82.95</v>
      </c>
      <c r="BW238" s="70">
        <f t="shared" si="673"/>
        <v>100</v>
      </c>
      <c r="BX238" s="70">
        <f t="shared" si="673"/>
        <v>45</v>
      </c>
      <c r="BY238" s="70">
        <f t="shared" si="673"/>
        <v>0</v>
      </c>
      <c r="BZ238" s="70">
        <f t="shared" si="673"/>
        <v>0</v>
      </c>
      <c r="CA238" s="70">
        <f t="shared" si="673"/>
        <v>1609.73</v>
      </c>
      <c r="CB238" s="70">
        <f t="shared" si="673"/>
        <v>322.66000000000003</v>
      </c>
      <c r="CC238" s="70">
        <f t="shared" si="673"/>
        <v>1770.7</v>
      </c>
      <c r="CD238" s="70">
        <f t="shared" si="673"/>
        <v>371.06</v>
      </c>
      <c r="CE238" s="70">
        <f t="shared" si="673"/>
        <v>148</v>
      </c>
      <c r="CF238" s="70">
        <f t="shared" si="673"/>
        <v>31</v>
      </c>
      <c r="CG238" s="70">
        <f t="shared" si="673"/>
        <v>402.43</v>
      </c>
      <c r="CH238" s="96">
        <f t="shared" si="673"/>
        <v>80.67</v>
      </c>
      <c r="CI238" s="70">
        <f t="shared" si="673"/>
        <v>0</v>
      </c>
      <c r="CJ238" s="70">
        <f t="shared" si="673"/>
        <v>0</v>
      </c>
      <c r="CK238" s="70">
        <f t="shared" si="673"/>
        <v>415</v>
      </c>
      <c r="CL238" s="70">
        <f t="shared" si="673"/>
        <v>79.98</v>
      </c>
      <c r="CM238" s="70">
        <f t="shared" si="673"/>
        <v>0</v>
      </c>
      <c r="CN238" s="70">
        <f t="shared" si="673"/>
        <v>0</v>
      </c>
      <c r="CO238" s="70">
        <f t="shared" si="673"/>
        <v>1683.5</v>
      </c>
      <c r="CP238" s="70">
        <f t="shared" si="673"/>
        <v>200</v>
      </c>
      <c r="CQ238" s="70">
        <f t="shared" si="673"/>
        <v>1660</v>
      </c>
      <c r="CR238" s="70">
        <f t="shared" ref="CR238:EZ238" si="674">+CR236+CR237</f>
        <v>319.92</v>
      </c>
      <c r="CS238" s="70">
        <f t="shared" si="674"/>
        <v>1660</v>
      </c>
      <c r="CT238" s="70">
        <f t="shared" si="674"/>
        <v>200</v>
      </c>
      <c r="CU238" s="70">
        <f t="shared" si="674"/>
        <v>1660</v>
      </c>
      <c r="CV238" s="70">
        <f t="shared" si="674"/>
        <v>200</v>
      </c>
      <c r="CW238" s="70">
        <f t="shared" si="674"/>
        <v>415</v>
      </c>
      <c r="CX238" s="70">
        <f t="shared" si="674"/>
        <v>20</v>
      </c>
      <c r="CY238" s="70">
        <f t="shared" si="674"/>
        <v>0</v>
      </c>
      <c r="CZ238" s="70">
        <f t="shared" si="674"/>
        <v>0</v>
      </c>
      <c r="DA238" s="70">
        <f t="shared" si="674"/>
        <v>978</v>
      </c>
      <c r="DB238" s="70">
        <f t="shared" si="674"/>
        <v>130.98000000000002</v>
      </c>
      <c r="DC238" s="70">
        <f t="shared" si="674"/>
        <v>905.58</v>
      </c>
      <c r="DD238" s="70">
        <f t="shared" si="674"/>
        <v>96.66</v>
      </c>
      <c r="DE238" s="70">
        <f t="shared" si="674"/>
        <v>72.419999999999959</v>
      </c>
      <c r="DF238" s="70">
        <f t="shared" si="674"/>
        <v>34.320000000000022</v>
      </c>
      <c r="DG238" s="70">
        <f t="shared" si="674"/>
        <v>415</v>
      </c>
      <c r="DH238" s="70">
        <f t="shared" si="674"/>
        <v>50</v>
      </c>
      <c r="DI238" s="70">
        <f t="shared" si="674"/>
        <v>342.58000000000004</v>
      </c>
      <c r="DJ238" s="70">
        <f t="shared" si="674"/>
        <v>15.679999999999978</v>
      </c>
      <c r="DK238" s="70">
        <f t="shared" si="674"/>
        <v>0</v>
      </c>
      <c r="DL238" s="70">
        <f t="shared" si="674"/>
        <v>0</v>
      </c>
      <c r="DM238" s="70">
        <f t="shared" si="674"/>
        <v>1320.58</v>
      </c>
      <c r="DN238" s="70">
        <f t="shared" si="674"/>
        <v>146.66</v>
      </c>
      <c r="DO238" s="70">
        <f t="shared" si="674"/>
        <v>1306.9100000000001</v>
      </c>
      <c r="DP238" s="70">
        <f t="shared" si="674"/>
        <v>98.38</v>
      </c>
      <c r="DQ238" s="70">
        <f t="shared" si="674"/>
        <v>13.67</v>
      </c>
      <c r="DR238" s="70">
        <f t="shared" si="674"/>
        <v>48.28</v>
      </c>
      <c r="DS238" s="70">
        <f t="shared" si="674"/>
        <v>130.691</v>
      </c>
      <c r="DT238" s="70">
        <f t="shared" si="674"/>
        <v>9.8379999999999992</v>
      </c>
      <c r="DU238" s="70">
        <f t="shared" si="674"/>
        <v>117.021</v>
      </c>
      <c r="DV238" s="70">
        <f t="shared" si="674"/>
        <v>-38.442</v>
      </c>
      <c r="DW238" s="70">
        <f t="shared" si="674"/>
        <v>0</v>
      </c>
      <c r="DX238" s="70">
        <f t="shared" si="674"/>
        <v>0</v>
      </c>
      <c r="DY238" s="70">
        <f t="shared" si="674"/>
        <v>117.02</v>
      </c>
      <c r="DZ238" s="70">
        <f t="shared" si="674"/>
        <v>0</v>
      </c>
      <c r="EA238" s="70">
        <f t="shared" si="674"/>
        <v>0</v>
      </c>
      <c r="EB238" s="96">
        <f t="shared" si="674"/>
        <v>0</v>
      </c>
      <c r="EC238" s="70">
        <f t="shared" si="674"/>
        <v>1437.6</v>
      </c>
      <c r="ED238" s="70">
        <f t="shared" si="674"/>
        <v>146.66</v>
      </c>
      <c r="EE238" s="70">
        <f t="shared" si="674"/>
        <v>1455.74</v>
      </c>
      <c r="EF238" s="70">
        <f t="shared" si="674"/>
        <v>103.09</v>
      </c>
      <c r="EG238" s="70" t="e">
        <f t="shared" si="674"/>
        <v>#DIV/0!</v>
      </c>
      <c r="EH238" s="70" t="e">
        <f t="shared" si="674"/>
        <v>#DIV/0!</v>
      </c>
      <c r="EI238" s="70">
        <f t="shared" si="674"/>
        <v>-18.14</v>
      </c>
      <c r="EJ238" s="70">
        <f t="shared" si="674"/>
        <v>43.57</v>
      </c>
      <c r="EK238" s="70">
        <f t="shared" si="674"/>
        <v>132.34</v>
      </c>
      <c r="EL238" s="70">
        <f t="shared" si="674"/>
        <v>9.3699999999999992</v>
      </c>
      <c r="EM238" s="70">
        <f t="shared" si="674"/>
        <v>150.48000000000002</v>
      </c>
      <c r="EN238" s="70">
        <f t="shared" si="674"/>
        <v>-34.200000000000003</v>
      </c>
      <c r="EO238" s="70">
        <f t="shared" si="674"/>
        <v>168.14</v>
      </c>
      <c r="EP238" s="70">
        <f t="shared" si="674"/>
        <v>0</v>
      </c>
      <c r="EQ238" s="66">
        <f t="shared" si="674"/>
        <v>0</v>
      </c>
      <c r="ER238" s="46">
        <f t="shared" si="674"/>
        <v>0</v>
      </c>
      <c r="ES238" s="46">
        <f t="shared" si="674"/>
        <v>0</v>
      </c>
      <c r="ET238" s="46">
        <f t="shared" si="674"/>
        <v>0</v>
      </c>
      <c r="EU238" s="5">
        <f t="shared" si="642"/>
        <v>54.260000000000105</v>
      </c>
      <c r="EV238" s="5">
        <f t="shared" si="642"/>
        <v>53.34</v>
      </c>
      <c r="EW238" s="46">
        <f t="shared" si="674"/>
        <v>1660</v>
      </c>
      <c r="EX238" s="46">
        <f t="shared" si="674"/>
        <v>200</v>
      </c>
      <c r="EY238" s="46">
        <f t="shared" si="674"/>
        <v>1909</v>
      </c>
      <c r="EZ238" s="46">
        <f t="shared" si="674"/>
        <v>230</v>
      </c>
    </row>
    <row r="239" spans="1:159" ht="18.75" x14ac:dyDescent="0.25">
      <c r="A239" s="68">
        <v>11</v>
      </c>
      <c r="B239" s="68" t="s">
        <v>499</v>
      </c>
      <c r="C239" s="91" t="s">
        <v>398</v>
      </c>
      <c r="D239" s="122" t="s">
        <v>500</v>
      </c>
      <c r="E239" s="69" t="s">
        <v>501</v>
      </c>
      <c r="F239" s="40">
        <v>699.44</v>
      </c>
      <c r="G239" s="40">
        <v>1.8899999999999997</v>
      </c>
      <c r="H239" s="40">
        <v>699.44</v>
      </c>
      <c r="I239" s="70">
        <v>0.99999999999999967</v>
      </c>
      <c r="J239" s="71">
        <v>796</v>
      </c>
      <c r="K239" s="71">
        <v>0</v>
      </c>
      <c r="L239" s="71">
        <v>0</v>
      </c>
      <c r="M239" s="71">
        <f t="shared" ref="M239" si="675">+L239+K239+J239</f>
        <v>796</v>
      </c>
      <c r="N239" s="71">
        <v>0</v>
      </c>
      <c r="O239" s="71">
        <v>0</v>
      </c>
      <c r="P239" s="71">
        <v>0</v>
      </c>
      <c r="Q239" s="71">
        <f t="shared" ref="Q239" si="676">+P239+O239+N239</f>
        <v>0</v>
      </c>
      <c r="R239" s="71">
        <f t="shared" ref="R239" si="677">+Q239+M239</f>
        <v>796</v>
      </c>
      <c r="S239" s="71">
        <v>0</v>
      </c>
      <c r="T239" s="92"/>
      <c r="U239" s="92"/>
      <c r="V239" s="70">
        <f t="shared" ref="V239" si="678">ROUND(H239*1.0583,2)</f>
        <v>740.22</v>
      </c>
      <c r="W239" s="70">
        <f t="shared" ref="W239" si="679">ROUND(I239*1.0327,2)</f>
        <v>1.03</v>
      </c>
      <c r="X239" s="70">
        <f t="shared" si="529"/>
        <v>55.779999999999973</v>
      </c>
      <c r="Y239" s="70">
        <f t="shared" si="529"/>
        <v>-1.03</v>
      </c>
      <c r="Z239" s="70">
        <v>740.22</v>
      </c>
      <c r="AA239" s="70"/>
      <c r="AB239" s="70">
        <f t="shared" si="547"/>
        <v>740.22</v>
      </c>
      <c r="AC239" s="43">
        <f t="shared" si="548"/>
        <v>0</v>
      </c>
      <c r="AD239" s="70">
        <f t="shared" ref="AD239" si="680">IF(X239&gt;0,V239,R239)</f>
        <v>740.22</v>
      </c>
      <c r="AE239" s="70">
        <f>IF(Y239&gt;0,W239,S239)+28.25</f>
        <v>28.25</v>
      </c>
      <c r="AF239" s="70">
        <f t="shared" si="570"/>
        <v>0</v>
      </c>
      <c r="AG239" s="43">
        <f t="shared" si="530"/>
        <v>185</v>
      </c>
      <c r="AH239" s="43">
        <f>ROUND(AE239/4,0)-7</f>
        <v>0</v>
      </c>
      <c r="AI239" s="93">
        <f t="shared" si="531"/>
        <v>62</v>
      </c>
      <c r="AJ239" s="43">
        <f>ROUND(AE239/12,0)-2</f>
        <v>0</v>
      </c>
      <c r="AK239" s="43"/>
      <c r="AL239" s="43"/>
      <c r="AM239" s="43">
        <f t="shared" si="571"/>
        <v>185.06</v>
      </c>
      <c r="AN239" s="43">
        <f>ROUND(AE239*24.35%,2)-6.88</f>
        <v>0</v>
      </c>
      <c r="AO239" s="43"/>
      <c r="AP239" s="43">
        <v>28.25</v>
      </c>
      <c r="AQ239" s="43">
        <f t="shared" si="532"/>
        <v>370.06</v>
      </c>
      <c r="AR239" s="43">
        <f t="shared" si="532"/>
        <v>28.25</v>
      </c>
      <c r="AS239" s="43"/>
      <c r="AT239" s="43"/>
      <c r="AU239" s="43">
        <f t="shared" si="623"/>
        <v>185.06</v>
      </c>
      <c r="AV239" s="43">
        <f>ROUND(AE239*25%,2)-7.06</f>
        <v>0</v>
      </c>
      <c r="AW239" s="43">
        <v>30</v>
      </c>
      <c r="AX239" s="43"/>
      <c r="AY239" s="43">
        <f t="shared" si="520"/>
        <v>647.12</v>
      </c>
      <c r="AZ239" s="43">
        <f t="shared" si="520"/>
        <v>28.25</v>
      </c>
      <c r="BA239" s="43">
        <f t="shared" si="521"/>
        <v>675.37</v>
      </c>
      <c r="BB239" s="121">
        <v>619.52</v>
      </c>
      <c r="BC239" s="60">
        <v>27.89</v>
      </c>
      <c r="BD239" s="60">
        <f t="shared" si="522"/>
        <v>27.600000000000023</v>
      </c>
      <c r="BE239" s="60">
        <f t="shared" si="522"/>
        <v>0.35999999999999943</v>
      </c>
      <c r="BF239" s="60">
        <f t="shared" si="523"/>
        <v>123.9</v>
      </c>
      <c r="BG239" s="60">
        <f t="shared" si="523"/>
        <v>5.58</v>
      </c>
      <c r="BH239" s="43">
        <v>48.15</v>
      </c>
      <c r="BI239" s="43">
        <v>0</v>
      </c>
      <c r="BJ239" s="43">
        <v>10.130000000000001</v>
      </c>
      <c r="BK239" s="43"/>
      <c r="BL239" s="43">
        <f t="shared" si="545"/>
        <v>705.4</v>
      </c>
      <c r="BM239" s="43">
        <f t="shared" si="545"/>
        <v>28.25</v>
      </c>
      <c r="BN239" s="43">
        <f t="shared" si="573"/>
        <v>733.65</v>
      </c>
      <c r="BO239" s="43">
        <v>697.63</v>
      </c>
      <c r="BP239" s="93">
        <v>27.89</v>
      </c>
      <c r="BQ239" s="43">
        <f t="shared" si="549"/>
        <v>7.7699999999999818</v>
      </c>
      <c r="BR239" s="43">
        <f t="shared" si="549"/>
        <v>0.35999999999999943</v>
      </c>
      <c r="BS239" s="43">
        <f t="shared" si="550"/>
        <v>63.42</v>
      </c>
      <c r="BT239" s="43">
        <f t="shared" si="550"/>
        <v>2.54</v>
      </c>
      <c r="BU239" s="43">
        <v>78.599999999999994</v>
      </c>
      <c r="BV239" s="43">
        <v>0</v>
      </c>
      <c r="BW239" s="43"/>
      <c r="BX239" s="43"/>
      <c r="BY239" s="43"/>
      <c r="BZ239" s="43"/>
      <c r="CA239" s="43">
        <v>784</v>
      </c>
      <c r="CB239" s="43">
        <v>28.25</v>
      </c>
      <c r="CC239" s="92">
        <v>862.4</v>
      </c>
      <c r="CD239" s="92">
        <v>32.49</v>
      </c>
      <c r="CE239" s="92">
        <v>72</v>
      </c>
      <c r="CF239" s="92">
        <v>3</v>
      </c>
      <c r="CG239" s="92">
        <f t="shared" si="551"/>
        <v>196</v>
      </c>
      <c r="CH239" s="92">
        <f t="shared" si="551"/>
        <v>7.06</v>
      </c>
      <c r="CI239" s="43"/>
      <c r="CJ239" s="43"/>
      <c r="CK239" s="43">
        <v>209</v>
      </c>
      <c r="CL239" s="43">
        <v>0</v>
      </c>
      <c r="CM239" s="43"/>
      <c r="CN239" s="43"/>
      <c r="CO239" s="43">
        <v>760</v>
      </c>
      <c r="CP239" s="43">
        <v>40</v>
      </c>
      <c r="CQ239" s="43">
        <f t="shared" si="552"/>
        <v>836</v>
      </c>
      <c r="CR239" s="43">
        <f>ROUND(CL239/3*12,2)+40</f>
        <v>40</v>
      </c>
      <c r="CS239" s="43">
        <f t="shared" si="553"/>
        <v>760</v>
      </c>
      <c r="CT239" s="43">
        <f t="shared" si="553"/>
        <v>40</v>
      </c>
      <c r="CU239" s="43">
        <v>840</v>
      </c>
      <c r="CV239" s="43">
        <v>60</v>
      </c>
      <c r="CW239" s="43">
        <f t="shared" si="554"/>
        <v>210</v>
      </c>
      <c r="CX239" s="43">
        <f t="shared" si="554"/>
        <v>15</v>
      </c>
      <c r="CY239" s="43"/>
      <c r="CZ239" s="43">
        <v>30</v>
      </c>
      <c r="DA239" s="43">
        <f t="shared" si="555"/>
        <v>491</v>
      </c>
      <c r="DB239" s="43">
        <f t="shared" si="555"/>
        <v>48</v>
      </c>
      <c r="DC239" s="43">
        <v>482.22</v>
      </c>
      <c r="DD239" s="43">
        <v>25.74</v>
      </c>
      <c r="DE239" s="43">
        <f t="shared" si="556"/>
        <v>8.7799999999999727</v>
      </c>
      <c r="DF239" s="43">
        <f t="shared" si="556"/>
        <v>22.26</v>
      </c>
      <c r="DG239" s="43">
        <f>ROUND(0.25*(MIN(CU239,EW239)),2)</f>
        <v>210</v>
      </c>
      <c r="DH239" s="43">
        <f>ROUND(0.25*(MIN(CV239,EX239)),2)</f>
        <v>15</v>
      </c>
      <c r="DI239" s="43">
        <f>+DG239-DE239</f>
        <v>201.22000000000003</v>
      </c>
      <c r="DJ239" s="43">
        <f>+DH239-DF239+7.26</f>
        <v>0</v>
      </c>
      <c r="DK239" s="43">
        <v>24</v>
      </c>
      <c r="DL239" s="43"/>
      <c r="DM239" s="43">
        <f t="shared" si="558"/>
        <v>716.22</v>
      </c>
      <c r="DN239" s="43">
        <f t="shared" si="558"/>
        <v>48</v>
      </c>
      <c r="DO239" s="104">
        <v>714.24</v>
      </c>
      <c r="DP239" s="103">
        <v>27.51</v>
      </c>
      <c r="DQ239" s="60">
        <f t="shared" si="559"/>
        <v>1.98</v>
      </c>
      <c r="DR239" s="60">
        <f t="shared" si="559"/>
        <v>20.49</v>
      </c>
      <c r="DS239" s="60">
        <f t="shared" si="560"/>
        <v>71.424000000000007</v>
      </c>
      <c r="DT239" s="60">
        <f t="shared" si="560"/>
        <v>2.7510000000000003</v>
      </c>
      <c r="DU239" s="60">
        <f t="shared" si="561"/>
        <v>69.444000000000003</v>
      </c>
      <c r="DV239" s="60">
        <f t="shared" si="561"/>
        <v>-17.738999999999997</v>
      </c>
      <c r="DW239" s="60"/>
      <c r="DX239" s="60"/>
      <c r="DY239" s="60">
        <f t="shared" si="569"/>
        <v>69.44</v>
      </c>
      <c r="DZ239" s="60">
        <v>0</v>
      </c>
      <c r="EA239" s="60">
        <v>11</v>
      </c>
      <c r="EB239" s="60">
        <v>7.42</v>
      </c>
      <c r="EC239" s="43">
        <f t="shared" si="562"/>
        <v>796.66000000000008</v>
      </c>
      <c r="ED239" s="43">
        <f t="shared" si="562"/>
        <v>55.42</v>
      </c>
      <c r="EE239" s="43">
        <v>787.55</v>
      </c>
      <c r="EF239" s="43">
        <v>48.21</v>
      </c>
      <c r="EG239" s="43">
        <f t="shared" si="607"/>
        <v>98.86</v>
      </c>
      <c r="EH239" s="43">
        <f t="shared" si="607"/>
        <v>86.99</v>
      </c>
      <c r="EI239" s="43">
        <f t="shared" si="563"/>
        <v>9.11</v>
      </c>
      <c r="EJ239" s="43">
        <f t="shared" si="563"/>
        <v>7.21</v>
      </c>
      <c r="EK239" s="43">
        <f t="shared" si="564"/>
        <v>71.599999999999994</v>
      </c>
      <c r="EL239" s="43">
        <f t="shared" si="564"/>
        <v>4.38</v>
      </c>
      <c r="EM239" s="43">
        <f t="shared" si="565"/>
        <v>62.489999999999995</v>
      </c>
      <c r="EN239" s="43">
        <f t="shared" si="565"/>
        <v>-2.83</v>
      </c>
      <c r="EO239" s="43">
        <v>133.34000000000003</v>
      </c>
      <c r="EP239" s="43">
        <v>0</v>
      </c>
      <c r="EQ239" s="5"/>
      <c r="ER239" s="5"/>
      <c r="ES239" s="5"/>
      <c r="ET239" s="5"/>
      <c r="EU239" s="5">
        <f t="shared" si="642"/>
        <v>0</v>
      </c>
      <c r="EV239" s="5">
        <f t="shared" si="642"/>
        <v>4.5799999999999983</v>
      </c>
      <c r="EW239" s="5">
        <v>930</v>
      </c>
      <c r="EX239" s="5">
        <v>60</v>
      </c>
      <c r="EY239" s="5">
        <v>0</v>
      </c>
      <c r="EZ239" s="5">
        <v>25</v>
      </c>
    </row>
    <row r="240" spans="1:159" ht="24.75" customHeight="1" x14ac:dyDescent="0.25">
      <c r="A240" s="68"/>
      <c r="B240" s="68"/>
      <c r="C240" s="91"/>
      <c r="D240" s="122" t="s">
        <v>502</v>
      </c>
      <c r="E240" s="69" t="s">
        <v>503</v>
      </c>
      <c r="F240" s="40">
        <v>22527.949999999997</v>
      </c>
      <c r="G240" s="40">
        <v>19191.589999999997</v>
      </c>
      <c r="H240" s="40">
        <v>22527.949999999997</v>
      </c>
      <c r="I240" s="40">
        <v>19368.47</v>
      </c>
      <c r="J240" s="41">
        <f t="shared" ref="J240:AA240" si="681">+J239+J238+J235+J232+J231+J230+J229+J228</f>
        <v>26859.590000000004</v>
      </c>
      <c r="K240" s="41">
        <f t="shared" si="681"/>
        <v>0</v>
      </c>
      <c r="L240" s="41">
        <f t="shared" si="681"/>
        <v>1.69</v>
      </c>
      <c r="M240" s="41">
        <f t="shared" si="681"/>
        <v>26861.279999999999</v>
      </c>
      <c r="N240" s="41">
        <f t="shared" si="681"/>
        <v>0</v>
      </c>
      <c r="O240" s="41">
        <f t="shared" si="681"/>
        <v>0</v>
      </c>
      <c r="P240" s="41">
        <f t="shared" si="681"/>
        <v>0</v>
      </c>
      <c r="Q240" s="41">
        <f t="shared" si="681"/>
        <v>0</v>
      </c>
      <c r="R240" s="41">
        <f t="shared" si="681"/>
        <v>26861.279999999999</v>
      </c>
      <c r="S240" s="41">
        <f t="shared" si="681"/>
        <v>22565</v>
      </c>
      <c r="T240" s="41">
        <f t="shared" si="681"/>
        <v>0</v>
      </c>
      <c r="U240" s="41">
        <f t="shared" si="681"/>
        <v>0</v>
      </c>
      <c r="V240" s="41">
        <f t="shared" si="681"/>
        <v>23841.339999999997</v>
      </c>
      <c r="W240" s="41">
        <f t="shared" si="681"/>
        <v>20001.810000000001</v>
      </c>
      <c r="X240" s="41">
        <f t="shared" si="681"/>
        <v>3019.94</v>
      </c>
      <c r="Y240" s="41">
        <f t="shared" si="681"/>
        <v>2563.1899999999996</v>
      </c>
      <c r="Z240" s="41">
        <f t="shared" si="681"/>
        <v>23828.42</v>
      </c>
      <c r="AA240" s="41">
        <f t="shared" si="681"/>
        <v>0</v>
      </c>
      <c r="AB240" s="40">
        <f t="shared" si="547"/>
        <v>23828.42</v>
      </c>
      <c r="AC240" s="43">
        <f t="shared" si="548"/>
        <v>0</v>
      </c>
      <c r="AD240" s="40">
        <f t="shared" ref="AD240:CP240" si="682">+AD239+AD238+AD235+AD232+AD231+AD230+AD229+AD228</f>
        <v>23828.42</v>
      </c>
      <c r="AE240" s="40">
        <f t="shared" si="682"/>
        <v>19926.13</v>
      </c>
      <c r="AF240" s="40">
        <f t="shared" si="682"/>
        <v>20358.14</v>
      </c>
      <c r="AG240" s="102">
        <f t="shared" si="682"/>
        <v>5957</v>
      </c>
      <c r="AH240" s="102">
        <f t="shared" si="682"/>
        <v>4974</v>
      </c>
      <c r="AI240" s="102">
        <f t="shared" si="682"/>
        <v>1987</v>
      </c>
      <c r="AJ240" s="102">
        <f t="shared" si="682"/>
        <v>1658</v>
      </c>
      <c r="AK240" s="102">
        <f t="shared" si="682"/>
        <v>0</v>
      </c>
      <c r="AL240" s="102">
        <f t="shared" si="682"/>
        <v>175</v>
      </c>
      <c r="AM240" s="102">
        <f t="shared" si="682"/>
        <v>5857.13</v>
      </c>
      <c r="AN240" s="102">
        <f t="shared" si="682"/>
        <v>4845.1399999999994</v>
      </c>
      <c r="AO240" s="102">
        <f t="shared" si="682"/>
        <v>0</v>
      </c>
      <c r="AP240" s="102">
        <f t="shared" si="682"/>
        <v>28.25</v>
      </c>
      <c r="AQ240" s="102">
        <f t="shared" si="682"/>
        <v>11814.130000000001</v>
      </c>
      <c r="AR240" s="102">
        <f t="shared" si="682"/>
        <v>10022.39</v>
      </c>
      <c r="AS240" s="102">
        <f t="shared" si="682"/>
        <v>0</v>
      </c>
      <c r="AT240" s="102">
        <f t="shared" si="682"/>
        <v>0</v>
      </c>
      <c r="AU240" s="102">
        <f t="shared" si="682"/>
        <v>5957.13</v>
      </c>
      <c r="AV240" s="102">
        <f t="shared" si="682"/>
        <v>5556.01</v>
      </c>
      <c r="AW240" s="102">
        <f t="shared" si="682"/>
        <v>270</v>
      </c>
      <c r="AX240" s="102">
        <f t="shared" si="682"/>
        <v>607.24</v>
      </c>
      <c r="AY240" s="102">
        <f t="shared" si="682"/>
        <v>20028.260000000002</v>
      </c>
      <c r="AZ240" s="102">
        <f t="shared" si="682"/>
        <v>17843.64</v>
      </c>
      <c r="BA240" s="102">
        <f t="shared" si="682"/>
        <v>37871.9</v>
      </c>
      <c r="BB240" s="102">
        <f t="shared" si="682"/>
        <v>19678.810000000001</v>
      </c>
      <c r="BC240" s="102">
        <f t="shared" si="682"/>
        <v>17968.41</v>
      </c>
      <c r="BD240" s="102">
        <f t="shared" si="682"/>
        <v>349.45000000000039</v>
      </c>
      <c r="BE240" s="102">
        <f t="shared" si="682"/>
        <v>-124.77000000000027</v>
      </c>
      <c r="BF240" s="102">
        <f t="shared" si="682"/>
        <v>3935.76</v>
      </c>
      <c r="BG240" s="102">
        <f t="shared" si="682"/>
        <v>3593.67</v>
      </c>
      <c r="BH240" s="102">
        <f t="shared" si="682"/>
        <v>1842.19</v>
      </c>
      <c r="BI240" s="102">
        <f t="shared" si="682"/>
        <v>1733.67</v>
      </c>
      <c r="BJ240" s="102">
        <f t="shared" si="682"/>
        <v>26.310000000000002</v>
      </c>
      <c r="BK240" s="102">
        <f t="shared" si="682"/>
        <v>200</v>
      </c>
      <c r="BL240" s="102">
        <f t="shared" si="682"/>
        <v>21896.76</v>
      </c>
      <c r="BM240" s="102">
        <f t="shared" si="682"/>
        <v>19777.309999999998</v>
      </c>
      <c r="BN240" s="102">
        <f t="shared" si="682"/>
        <v>41674.07</v>
      </c>
      <c r="BO240" s="102">
        <f t="shared" si="682"/>
        <v>21759</v>
      </c>
      <c r="BP240" s="102">
        <f t="shared" si="682"/>
        <v>19808.79</v>
      </c>
      <c r="BQ240" s="40">
        <f t="shared" si="682"/>
        <v>137.7600000000009</v>
      </c>
      <c r="BR240" s="40">
        <f t="shared" si="682"/>
        <v>-31.480000000000317</v>
      </c>
      <c r="BS240" s="40">
        <f t="shared" si="682"/>
        <v>1978.09</v>
      </c>
      <c r="BT240" s="40">
        <f t="shared" si="682"/>
        <v>1800.81</v>
      </c>
      <c r="BU240" s="40">
        <f t="shared" si="682"/>
        <v>1982.8399999999992</v>
      </c>
      <c r="BV240" s="40">
        <f t="shared" si="682"/>
        <v>1934.1399999999999</v>
      </c>
      <c r="BW240" s="40">
        <f t="shared" si="682"/>
        <v>212.65</v>
      </c>
      <c r="BX240" s="40">
        <f t="shared" si="682"/>
        <v>357.75</v>
      </c>
      <c r="BY240" s="40">
        <f t="shared" si="682"/>
        <v>0</v>
      </c>
      <c r="BZ240" s="40">
        <f t="shared" si="682"/>
        <v>0</v>
      </c>
      <c r="CA240" s="40">
        <f t="shared" si="682"/>
        <v>24092.25</v>
      </c>
      <c r="CB240" s="40">
        <f t="shared" si="682"/>
        <v>22069.199999999997</v>
      </c>
      <c r="CC240" s="40">
        <f t="shared" si="682"/>
        <v>26501.47</v>
      </c>
      <c r="CD240" s="40">
        <f t="shared" si="682"/>
        <v>25379.589999999997</v>
      </c>
      <c r="CE240" s="40">
        <f t="shared" si="682"/>
        <v>2209</v>
      </c>
      <c r="CF240" s="40">
        <f t="shared" si="682"/>
        <v>2114</v>
      </c>
      <c r="CG240" s="40">
        <f t="shared" si="682"/>
        <v>6023.0700000000006</v>
      </c>
      <c r="CH240" s="102">
        <f t="shared" si="682"/>
        <v>5517.3</v>
      </c>
      <c r="CI240" s="40">
        <f t="shared" si="682"/>
        <v>0</v>
      </c>
      <c r="CJ240" s="40">
        <f t="shared" si="682"/>
        <v>0</v>
      </c>
      <c r="CK240" s="40">
        <f t="shared" si="682"/>
        <v>6526</v>
      </c>
      <c r="CL240" s="40">
        <f t="shared" si="682"/>
        <v>6127.98</v>
      </c>
      <c r="CM240" s="40">
        <f t="shared" si="682"/>
        <v>0</v>
      </c>
      <c r="CN240" s="40">
        <f t="shared" si="682"/>
        <v>335</v>
      </c>
      <c r="CO240" s="40">
        <f t="shared" si="682"/>
        <v>26368.42</v>
      </c>
      <c r="CP240" s="40">
        <f t="shared" si="682"/>
        <v>22785</v>
      </c>
      <c r="CQ240" s="40">
        <f t="shared" ref="CQ240:FA240" si="683">+CQ239+CQ238+CQ235+CQ232+CQ231+CQ230+CQ229+CQ228</f>
        <v>26104</v>
      </c>
      <c r="CR240" s="40">
        <f t="shared" si="683"/>
        <v>24551.919999999998</v>
      </c>
      <c r="CS240" s="40">
        <f t="shared" si="683"/>
        <v>25640</v>
      </c>
      <c r="CT240" s="40">
        <f t="shared" si="683"/>
        <v>22480</v>
      </c>
      <c r="CU240" s="40">
        <f t="shared" si="683"/>
        <v>26775</v>
      </c>
      <c r="CV240" s="40">
        <f t="shared" si="683"/>
        <v>24155</v>
      </c>
      <c r="CW240" s="40">
        <f t="shared" si="683"/>
        <v>6693.75</v>
      </c>
      <c r="CX240" s="40">
        <f t="shared" si="683"/>
        <v>5998.75</v>
      </c>
      <c r="CY240" s="40">
        <f t="shared" si="683"/>
        <v>0</v>
      </c>
      <c r="CZ240" s="40">
        <f t="shared" si="683"/>
        <v>30</v>
      </c>
      <c r="DA240" s="40">
        <f t="shared" si="683"/>
        <v>15428.75</v>
      </c>
      <c r="DB240" s="40">
        <f t="shared" si="683"/>
        <v>14605.73</v>
      </c>
      <c r="DC240" s="40">
        <f t="shared" si="683"/>
        <v>14739.46</v>
      </c>
      <c r="DD240" s="40">
        <f t="shared" si="683"/>
        <v>14126.739999999998</v>
      </c>
      <c r="DE240" s="40">
        <f t="shared" si="683"/>
        <v>689.28999999999962</v>
      </c>
      <c r="DF240" s="40">
        <f t="shared" si="683"/>
        <v>478.98999999999995</v>
      </c>
      <c r="DG240" s="40">
        <f t="shared" si="683"/>
        <v>6528.75</v>
      </c>
      <c r="DH240" s="40">
        <f t="shared" si="683"/>
        <v>6030</v>
      </c>
      <c r="DI240" s="40">
        <f t="shared" si="683"/>
        <v>5839.4600000000009</v>
      </c>
      <c r="DJ240" s="40">
        <f t="shared" si="683"/>
        <v>5558.2699999999995</v>
      </c>
      <c r="DK240" s="40">
        <f t="shared" si="683"/>
        <v>89</v>
      </c>
      <c r="DL240" s="40">
        <f t="shared" si="683"/>
        <v>185</v>
      </c>
      <c r="DM240" s="40">
        <f t="shared" si="683"/>
        <v>21357.210000000003</v>
      </c>
      <c r="DN240" s="70">
        <f t="shared" si="683"/>
        <v>20349</v>
      </c>
      <c r="DO240" s="70">
        <f t="shared" si="683"/>
        <v>21182.719999999998</v>
      </c>
      <c r="DP240" s="70">
        <f t="shared" si="683"/>
        <v>20173.380000000005</v>
      </c>
      <c r="DQ240" s="70">
        <f t="shared" si="683"/>
        <v>174.49</v>
      </c>
      <c r="DR240" s="70">
        <f t="shared" si="683"/>
        <v>175.62</v>
      </c>
      <c r="DS240" s="70">
        <f t="shared" si="683"/>
        <v>2118.2719999999999</v>
      </c>
      <c r="DT240" s="70">
        <f t="shared" si="683"/>
        <v>2017.338</v>
      </c>
      <c r="DU240" s="70">
        <f t="shared" si="683"/>
        <v>1943.7819999999999</v>
      </c>
      <c r="DV240" s="70">
        <f t="shared" si="683"/>
        <v>1841.7180000000001</v>
      </c>
      <c r="DW240" s="70">
        <f t="shared" si="683"/>
        <v>0</v>
      </c>
      <c r="DX240" s="70">
        <f t="shared" si="683"/>
        <v>100</v>
      </c>
      <c r="DY240" s="70">
        <f t="shared" si="683"/>
        <v>1943.77</v>
      </c>
      <c r="DZ240" s="70">
        <f t="shared" si="683"/>
        <v>1952.0900000000004</v>
      </c>
      <c r="EA240" s="70">
        <f t="shared" si="683"/>
        <v>113.65</v>
      </c>
      <c r="EB240" s="96">
        <f t="shared" si="683"/>
        <v>451.67</v>
      </c>
      <c r="EC240" s="70">
        <f t="shared" si="683"/>
        <v>23414.629999999997</v>
      </c>
      <c r="ED240" s="70">
        <f t="shared" si="683"/>
        <v>22752.76</v>
      </c>
      <c r="EE240" s="70">
        <f t="shared" si="683"/>
        <v>23302.780000000002</v>
      </c>
      <c r="EF240" s="70">
        <f t="shared" si="683"/>
        <v>22265.09</v>
      </c>
      <c r="EG240" s="70" t="e">
        <f t="shared" si="683"/>
        <v>#DIV/0!</v>
      </c>
      <c r="EH240" s="70" t="e">
        <f t="shared" si="683"/>
        <v>#DIV/0!</v>
      </c>
      <c r="EI240" s="70">
        <f t="shared" si="683"/>
        <v>111.85</v>
      </c>
      <c r="EJ240" s="70">
        <f t="shared" si="683"/>
        <v>487.66999999999996</v>
      </c>
      <c r="EK240" s="70">
        <f t="shared" si="683"/>
        <v>2118.4399999999996</v>
      </c>
      <c r="EL240" s="70">
        <f t="shared" si="683"/>
        <v>2024.1</v>
      </c>
      <c r="EM240" s="70">
        <f t="shared" si="683"/>
        <v>2006.59</v>
      </c>
      <c r="EN240" s="70">
        <f t="shared" si="683"/>
        <v>1536.4299999999998</v>
      </c>
      <c r="EO240" s="70">
        <f t="shared" si="683"/>
        <v>2172.0700000000002</v>
      </c>
      <c r="EP240" s="70">
        <f t="shared" si="683"/>
        <v>1532.47</v>
      </c>
      <c r="EQ240" s="79" t="e">
        <f t="shared" si="683"/>
        <v>#VALUE!</v>
      </c>
      <c r="ER240" s="62">
        <f t="shared" si="683"/>
        <v>0</v>
      </c>
      <c r="ES240" s="62">
        <f t="shared" si="683"/>
        <v>0</v>
      </c>
      <c r="ET240" s="62">
        <f t="shared" si="683"/>
        <v>0</v>
      </c>
      <c r="EU240" s="5">
        <f t="shared" si="642"/>
        <v>923.30000000000246</v>
      </c>
      <c r="EV240" s="5">
        <f t="shared" si="642"/>
        <v>639.77000000000157</v>
      </c>
      <c r="EW240" s="64">
        <f t="shared" si="683"/>
        <v>26510</v>
      </c>
      <c r="EX240" s="64">
        <f t="shared" si="683"/>
        <v>24925</v>
      </c>
      <c r="EY240" s="64">
        <f t="shared" si="683"/>
        <v>28119</v>
      </c>
      <c r="EZ240" s="64">
        <f t="shared" si="683"/>
        <v>26880</v>
      </c>
      <c r="FA240" s="64">
        <f t="shared" si="683"/>
        <v>0</v>
      </c>
    </row>
    <row r="241" spans="1:156" ht="18.75" x14ac:dyDescent="0.25">
      <c r="A241" s="37">
        <v>1</v>
      </c>
      <c r="B241" s="37"/>
      <c r="C241" s="91" t="s">
        <v>193</v>
      </c>
      <c r="D241" s="38" t="s">
        <v>504</v>
      </c>
      <c r="E241" s="39"/>
      <c r="F241" s="40">
        <v>2915</v>
      </c>
      <c r="G241" s="40">
        <v>2183.8200000000002</v>
      </c>
      <c r="H241" s="40">
        <v>2915</v>
      </c>
      <c r="I241" s="40">
        <v>2183.8200000000002</v>
      </c>
      <c r="J241" s="41">
        <v>3300</v>
      </c>
      <c r="K241" s="41">
        <v>0</v>
      </c>
      <c r="L241" s="41">
        <v>0</v>
      </c>
      <c r="M241" s="41">
        <f t="shared" ref="M241:M259" si="684">J241+K241+L241</f>
        <v>3300</v>
      </c>
      <c r="N241" s="41">
        <v>0</v>
      </c>
      <c r="O241" s="41"/>
      <c r="P241" s="41"/>
      <c r="Q241" s="41">
        <f t="shared" ref="Q241:Q247" si="685">N241+O241+P241</f>
        <v>0</v>
      </c>
      <c r="R241" s="41">
        <f t="shared" ref="R241:R259" si="686">+Q241+M241</f>
        <v>3300</v>
      </c>
      <c r="S241" s="41">
        <v>2500</v>
      </c>
      <c r="T241" s="92"/>
      <c r="U241" s="92"/>
      <c r="V241" s="40">
        <f t="shared" ref="V241:V247" si="687">ROUND(H241*1.0583,2)</f>
        <v>3084.94</v>
      </c>
      <c r="W241" s="40">
        <f t="shared" ref="W241:W247" si="688">ROUND(I241*1.0327,2)</f>
        <v>2255.23</v>
      </c>
      <c r="X241" s="43">
        <f t="shared" si="529"/>
        <v>215.05999999999995</v>
      </c>
      <c r="Y241" s="43">
        <f t="shared" si="529"/>
        <v>244.76999999999998</v>
      </c>
      <c r="Z241" s="43">
        <v>3084.94</v>
      </c>
      <c r="AA241" s="43"/>
      <c r="AB241" s="43">
        <f t="shared" si="547"/>
        <v>3084.94</v>
      </c>
      <c r="AC241" s="43">
        <f t="shared" si="548"/>
        <v>0</v>
      </c>
      <c r="AD241" s="43">
        <f t="shared" ref="AD241:AE247" si="689">IF(X241&gt;0,V241,R241)</f>
        <v>3084.94</v>
      </c>
      <c r="AE241" s="43">
        <f t="shared" si="689"/>
        <v>2255.23</v>
      </c>
      <c r="AF241" s="43">
        <f t="shared" si="570"/>
        <v>2255.5</v>
      </c>
      <c r="AG241" s="43">
        <f t="shared" si="530"/>
        <v>771</v>
      </c>
      <c r="AH241" s="43">
        <f t="shared" si="530"/>
        <v>564</v>
      </c>
      <c r="AI241" s="93">
        <f t="shared" si="531"/>
        <v>257</v>
      </c>
      <c r="AJ241" s="43">
        <f t="shared" si="531"/>
        <v>188</v>
      </c>
      <c r="AK241" s="43"/>
      <c r="AL241" s="43"/>
      <c r="AM241" s="43">
        <f t="shared" si="571"/>
        <v>771.24</v>
      </c>
      <c r="AN241" s="43">
        <f t="shared" si="572"/>
        <v>549.15</v>
      </c>
      <c r="AO241" s="43"/>
      <c r="AP241" s="43"/>
      <c r="AQ241" s="43">
        <f t="shared" si="532"/>
        <v>1542.24</v>
      </c>
      <c r="AR241" s="43">
        <f t="shared" si="532"/>
        <v>1113.1500000000001</v>
      </c>
      <c r="AS241" s="43"/>
      <c r="AT241" s="43"/>
      <c r="AU241" s="43">
        <f t="shared" si="623"/>
        <v>771.24</v>
      </c>
      <c r="AV241" s="43">
        <f>ROUND(AE241*25%,2)</f>
        <v>563.80999999999995</v>
      </c>
      <c r="AW241" s="43"/>
      <c r="AX241" s="43">
        <v>506.5</v>
      </c>
      <c r="AY241" s="43">
        <f t="shared" si="520"/>
        <v>2570.48</v>
      </c>
      <c r="AZ241" s="43">
        <f t="shared" si="520"/>
        <v>2371.46</v>
      </c>
      <c r="BA241" s="43">
        <f t="shared" si="521"/>
        <v>4941.9400000000005</v>
      </c>
      <c r="BB241" s="60">
        <v>2600.98</v>
      </c>
      <c r="BC241" s="60">
        <v>2296.44</v>
      </c>
      <c r="BD241" s="60">
        <f t="shared" si="522"/>
        <v>-30.5</v>
      </c>
      <c r="BE241" s="60">
        <f t="shared" si="522"/>
        <v>75.019999999999982</v>
      </c>
      <c r="BF241" s="60">
        <f t="shared" si="523"/>
        <v>520.20000000000005</v>
      </c>
      <c r="BG241" s="60">
        <f t="shared" si="523"/>
        <v>459.29</v>
      </c>
      <c r="BH241" s="43">
        <v>264.35000000000002</v>
      </c>
      <c r="BI241" s="43">
        <v>150</v>
      </c>
      <c r="BJ241" s="43"/>
      <c r="BK241" s="43">
        <v>150</v>
      </c>
      <c r="BL241" s="43">
        <f t="shared" si="545"/>
        <v>2834.83</v>
      </c>
      <c r="BM241" s="43">
        <f t="shared" si="545"/>
        <v>2671.46</v>
      </c>
      <c r="BN241" s="43">
        <f t="shared" si="573"/>
        <v>5506.29</v>
      </c>
      <c r="BO241" s="43">
        <v>2833.87</v>
      </c>
      <c r="BP241" s="93">
        <v>2596.39</v>
      </c>
      <c r="BQ241" s="43">
        <f t="shared" si="549"/>
        <v>0.96000000000003638</v>
      </c>
      <c r="BR241" s="43">
        <f t="shared" si="549"/>
        <v>75.070000000000164</v>
      </c>
      <c r="BS241" s="43">
        <f t="shared" si="550"/>
        <v>257.62</v>
      </c>
      <c r="BT241" s="43">
        <f t="shared" si="550"/>
        <v>236.04</v>
      </c>
      <c r="BU241" s="43">
        <f t="shared" si="583"/>
        <v>256.65999999999997</v>
      </c>
      <c r="BV241" s="43">
        <v>200</v>
      </c>
      <c r="BW241" s="43">
        <v>119.51</v>
      </c>
      <c r="BX241" s="43">
        <f>60+9.66</f>
        <v>69.66</v>
      </c>
      <c r="BY241" s="43"/>
      <c r="BZ241" s="43"/>
      <c r="CA241" s="43">
        <v>3211</v>
      </c>
      <c r="CB241" s="43">
        <v>2941.12</v>
      </c>
      <c r="CC241" s="92">
        <v>3532.1</v>
      </c>
      <c r="CD241" s="92">
        <v>3382.29</v>
      </c>
      <c r="CE241" s="92">
        <v>294</v>
      </c>
      <c r="CF241" s="92">
        <v>282</v>
      </c>
      <c r="CG241" s="92">
        <f t="shared" si="551"/>
        <v>802.75</v>
      </c>
      <c r="CH241" s="92">
        <f t="shared" si="551"/>
        <v>735.28</v>
      </c>
      <c r="CI241" s="43"/>
      <c r="CJ241" s="43"/>
      <c r="CK241" s="43">
        <v>735</v>
      </c>
      <c r="CL241" s="72">
        <f>606.5-56.5</f>
        <v>550</v>
      </c>
      <c r="CM241" s="72"/>
      <c r="CN241" s="72"/>
      <c r="CO241" s="43">
        <v>3390</v>
      </c>
      <c r="CP241" s="43">
        <v>2800</v>
      </c>
      <c r="CQ241" s="43">
        <f t="shared" si="552"/>
        <v>2940</v>
      </c>
      <c r="CR241" s="43">
        <f t="shared" si="552"/>
        <v>2200</v>
      </c>
      <c r="CS241" s="43">
        <f t="shared" si="553"/>
        <v>2940</v>
      </c>
      <c r="CT241" s="43">
        <f t="shared" si="553"/>
        <v>2200</v>
      </c>
      <c r="CU241" s="43">
        <v>3125</v>
      </c>
      <c r="CV241" s="43">
        <v>2800</v>
      </c>
      <c r="CW241" s="43">
        <f t="shared" si="554"/>
        <v>781.25</v>
      </c>
      <c r="CX241" s="43">
        <f t="shared" si="554"/>
        <v>700</v>
      </c>
      <c r="CY241" s="43">
        <v>25</v>
      </c>
      <c r="CZ241" s="43">
        <v>40</v>
      </c>
      <c r="DA241" s="43">
        <f t="shared" si="555"/>
        <v>1835.25</v>
      </c>
      <c r="DB241" s="43">
        <f t="shared" si="555"/>
        <v>1572</v>
      </c>
      <c r="DC241" s="43">
        <v>1823.7</v>
      </c>
      <c r="DD241" s="43">
        <v>1560.96</v>
      </c>
      <c r="DE241" s="43">
        <f t="shared" si="556"/>
        <v>11.549999999999955</v>
      </c>
      <c r="DF241" s="43">
        <f t="shared" si="556"/>
        <v>11.039999999999964</v>
      </c>
      <c r="DG241" s="43">
        <f t="shared" ref="DG241:DH247" si="690">ROUND(0.25*(MIN(CU241,EW241)),2)</f>
        <v>781.25</v>
      </c>
      <c r="DH241" s="43">
        <f t="shared" si="690"/>
        <v>700</v>
      </c>
      <c r="DI241" s="43">
        <f t="shared" ref="DI241:DJ247" si="691">+DG241-DE241</f>
        <v>769.7</v>
      </c>
      <c r="DJ241" s="43">
        <f t="shared" si="691"/>
        <v>688.96</v>
      </c>
      <c r="DK241" s="43">
        <v>55.05</v>
      </c>
      <c r="DL241" s="43">
        <v>45</v>
      </c>
      <c r="DM241" s="43">
        <f t="shared" si="558"/>
        <v>2660</v>
      </c>
      <c r="DN241" s="43">
        <f t="shared" si="558"/>
        <v>2305.96</v>
      </c>
      <c r="DO241" s="94">
        <v>2641.12</v>
      </c>
      <c r="DP241" s="95">
        <v>2213.0100000000002</v>
      </c>
      <c r="DQ241" s="60">
        <f t="shared" si="559"/>
        <v>18.88</v>
      </c>
      <c r="DR241" s="60">
        <f t="shared" si="559"/>
        <v>92.95</v>
      </c>
      <c r="DS241" s="60">
        <f t="shared" si="560"/>
        <v>264.11199999999997</v>
      </c>
      <c r="DT241" s="60">
        <f t="shared" si="560"/>
        <v>221.30100000000002</v>
      </c>
      <c r="DU241" s="60">
        <f t="shared" si="561"/>
        <v>245.23199999999997</v>
      </c>
      <c r="DV241" s="60">
        <f t="shared" si="561"/>
        <v>128.351</v>
      </c>
      <c r="DW241" s="60"/>
      <c r="DX241" s="60">
        <v>14.04</v>
      </c>
      <c r="DY241" s="60">
        <f>ROUND(DU241+DW241,2)-0.35</f>
        <v>244.88</v>
      </c>
      <c r="DZ241" s="60">
        <f>ROUND(DV241+DX241,2)-0.78</f>
        <v>141.60999999999999</v>
      </c>
      <c r="EA241" s="60">
        <v>12</v>
      </c>
      <c r="EB241" s="60">
        <v>250</v>
      </c>
      <c r="EC241" s="43">
        <f t="shared" si="562"/>
        <v>2916.88</v>
      </c>
      <c r="ED241" s="43">
        <f t="shared" si="562"/>
        <v>2697.57</v>
      </c>
      <c r="EE241" s="43">
        <v>2900.47</v>
      </c>
      <c r="EF241" s="43">
        <v>2503.5100000000002</v>
      </c>
      <c r="EG241" s="43">
        <f t="shared" si="607"/>
        <v>99.44</v>
      </c>
      <c r="EH241" s="43">
        <f t="shared" si="607"/>
        <v>92.81</v>
      </c>
      <c r="EI241" s="43">
        <f t="shared" si="563"/>
        <v>16.41</v>
      </c>
      <c r="EJ241" s="43">
        <f t="shared" si="563"/>
        <v>194.06</v>
      </c>
      <c r="EK241" s="43">
        <f t="shared" si="564"/>
        <v>263.68</v>
      </c>
      <c r="EL241" s="43">
        <f t="shared" si="564"/>
        <v>227.59</v>
      </c>
      <c r="EM241" s="43">
        <f t="shared" si="565"/>
        <v>247.27</v>
      </c>
      <c r="EN241" s="43">
        <f t="shared" si="565"/>
        <v>33.53</v>
      </c>
      <c r="EO241" s="43">
        <v>275</v>
      </c>
      <c r="EP241" s="43">
        <v>180</v>
      </c>
      <c r="EQ241" s="5"/>
      <c r="ER241" s="5"/>
      <c r="ES241" s="5"/>
      <c r="ET241" s="5"/>
      <c r="EU241" s="5">
        <f t="shared" si="642"/>
        <v>231.23999999999978</v>
      </c>
      <c r="EV241" s="5">
        <f t="shared" si="642"/>
        <v>122.42999999999984</v>
      </c>
      <c r="EW241" s="5">
        <v>3423.12</v>
      </c>
      <c r="EX241" s="5">
        <v>3000</v>
      </c>
      <c r="EY241" s="5">
        <v>3500</v>
      </c>
      <c r="EZ241" s="5">
        <v>3600</v>
      </c>
    </row>
    <row r="242" spans="1:156" ht="18.75" x14ac:dyDescent="0.25">
      <c r="A242" s="37">
        <v>2</v>
      </c>
      <c r="B242" s="37"/>
      <c r="C242" s="91" t="s">
        <v>193</v>
      </c>
      <c r="D242" s="38" t="s">
        <v>505</v>
      </c>
      <c r="E242" s="39"/>
      <c r="F242" s="40">
        <v>1078</v>
      </c>
      <c r="G242" s="40">
        <v>0</v>
      </c>
      <c r="H242" s="40">
        <v>1078</v>
      </c>
      <c r="I242" s="40">
        <v>0</v>
      </c>
      <c r="J242" s="41">
        <v>1250</v>
      </c>
      <c r="K242" s="41">
        <v>0</v>
      </c>
      <c r="L242" s="41">
        <v>0</v>
      </c>
      <c r="M242" s="41">
        <f t="shared" si="684"/>
        <v>1250</v>
      </c>
      <c r="N242" s="41">
        <v>75</v>
      </c>
      <c r="O242" s="41"/>
      <c r="P242" s="41"/>
      <c r="Q242" s="41">
        <f t="shared" si="685"/>
        <v>75</v>
      </c>
      <c r="R242" s="41">
        <f t="shared" si="686"/>
        <v>1325</v>
      </c>
      <c r="S242" s="41">
        <v>0</v>
      </c>
      <c r="T242" s="92"/>
      <c r="U242" s="92"/>
      <c r="V242" s="40">
        <f t="shared" si="687"/>
        <v>1140.8499999999999</v>
      </c>
      <c r="W242" s="40">
        <f t="shared" si="688"/>
        <v>0</v>
      </c>
      <c r="X242" s="43">
        <f t="shared" si="529"/>
        <v>184.15000000000009</v>
      </c>
      <c r="Y242" s="43">
        <f t="shared" si="529"/>
        <v>0</v>
      </c>
      <c r="Z242" s="43">
        <v>1085.8499999999999</v>
      </c>
      <c r="AA242" s="43">
        <v>55</v>
      </c>
      <c r="AB242" s="43">
        <f t="shared" si="547"/>
        <v>1140.8499999999999</v>
      </c>
      <c r="AC242" s="43">
        <f t="shared" si="548"/>
        <v>0</v>
      </c>
      <c r="AD242" s="43">
        <f t="shared" si="689"/>
        <v>1140.8499999999999</v>
      </c>
      <c r="AE242" s="43">
        <f t="shared" si="689"/>
        <v>0</v>
      </c>
      <c r="AF242" s="43">
        <f t="shared" si="570"/>
        <v>0</v>
      </c>
      <c r="AG242" s="43">
        <f t="shared" si="530"/>
        <v>285</v>
      </c>
      <c r="AH242" s="43">
        <f t="shared" si="530"/>
        <v>0</v>
      </c>
      <c r="AI242" s="93">
        <f t="shared" si="531"/>
        <v>95</v>
      </c>
      <c r="AJ242" s="43">
        <f t="shared" si="531"/>
        <v>0</v>
      </c>
      <c r="AK242" s="43"/>
      <c r="AL242" s="43"/>
      <c r="AM242" s="43">
        <f t="shared" si="571"/>
        <v>285.20999999999998</v>
      </c>
      <c r="AN242" s="43">
        <f t="shared" si="572"/>
        <v>0</v>
      </c>
      <c r="AO242" s="43"/>
      <c r="AP242" s="43"/>
      <c r="AQ242" s="43">
        <f t="shared" si="532"/>
        <v>570.21</v>
      </c>
      <c r="AR242" s="43">
        <f t="shared" si="532"/>
        <v>0</v>
      </c>
      <c r="AS242" s="43"/>
      <c r="AT242" s="43"/>
      <c r="AU242" s="43">
        <f t="shared" si="623"/>
        <v>285.20999999999998</v>
      </c>
      <c r="AV242" s="43">
        <f t="shared" si="623"/>
        <v>0</v>
      </c>
      <c r="AW242" s="43"/>
      <c r="AX242" s="43"/>
      <c r="AY242" s="43">
        <f t="shared" si="520"/>
        <v>950.42000000000007</v>
      </c>
      <c r="AZ242" s="43">
        <f t="shared" si="520"/>
        <v>0</v>
      </c>
      <c r="BA242" s="43">
        <f t="shared" si="521"/>
        <v>950.42000000000007</v>
      </c>
      <c r="BB242" s="60">
        <v>950.42</v>
      </c>
      <c r="BC242" s="60"/>
      <c r="BD242" s="60">
        <f t="shared" si="522"/>
        <v>0</v>
      </c>
      <c r="BE242" s="60">
        <f t="shared" si="522"/>
        <v>0</v>
      </c>
      <c r="BF242" s="60">
        <f t="shared" si="523"/>
        <v>190.08</v>
      </c>
      <c r="BG242" s="60">
        <f t="shared" si="523"/>
        <v>0</v>
      </c>
      <c r="BH242" s="43">
        <v>95.04</v>
      </c>
      <c r="BI242" s="43">
        <v>0</v>
      </c>
      <c r="BJ242" s="43"/>
      <c r="BK242" s="43"/>
      <c r="BL242" s="43">
        <f t="shared" si="545"/>
        <v>1045.46</v>
      </c>
      <c r="BM242" s="43">
        <f t="shared" si="545"/>
        <v>0</v>
      </c>
      <c r="BN242" s="43">
        <f t="shared" si="573"/>
        <v>1045.46</v>
      </c>
      <c r="BO242" s="43">
        <v>950.42</v>
      </c>
      <c r="BP242" s="93"/>
      <c r="BQ242" s="43">
        <f t="shared" si="549"/>
        <v>95.040000000000077</v>
      </c>
      <c r="BR242" s="43">
        <f t="shared" si="549"/>
        <v>0</v>
      </c>
      <c r="BS242" s="43">
        <f t="shared" si="550"/>
        <v>86.4</v>
      </c>
      <c r="BT242" s="43">
        <f t="shared" si="550"/>
        <v>0</v>
      </c>
      <c r="BU242" s="43">
        <f t="shared" ref="BU242:BU243" si="692">ROUND(BS242-BQ242,2)</f>
        <v>-8.64</v>
      </c>
      <c r="BV242" s="43">
        <v>0</v>
      </c>
      <c r="BW242" s="43">
        <v>104.03</v>
      </c>
      <c r="BX242" s="43"/>
      <c r="BY242" s="43"/>
      <c r="BZ242" s="43"/>
      <c r="CA242" s="43">
        <v>1140.8499999999999</v>
      </c>
      <c r="CB242" s="43">
        <v>0</v>
      </c>
      <c r="CC242" s="92">
        <v>1254.94</v>
      </c>
      <c r="CD242" s="92">
        <v>0</v>
      </c>
      <c r="CE242" s="92">
        <v>105</v>
      </c>
      <c r="CF242" s="92">
        <v>0</v>
      </c>
      <c r="CG242" s="92">
        <f t="shared" si="551"/>
        <v>285.20999999999998</v>
      </c>
      <c r="CH242" s="92">
        <f t="shared" si="551"/>
        <v>0</v>
      </c>
      <c r="CI242" s="43"/>
      <c r="CJ242" s="43"/>
      <c r="CK242" s="72">
        <f>345-25</f>
        <v>320</v>
      </c>
      <c r="CL242" s="43">
        <v>0</v>
      </c>
      <c r="CM242" s="43"/>
      <c r="CN242" s="43"/>
      <c r="CO242" s="43">
        <v>1254.94</v>
      </c>
      <c r="CP242" s="43"/>
      <c r="CQ242" s="43">
        <f t="shared" si="552"/>
        <v>1280</v>
      </c>
      <c r="CR242" s="43">
        <f t="shared" si="552"/>
        <v>0</v>
      </c>
      <c r="CS242" s="43">
        <f t="shared" si="553"/>
        <v>1254.94</v>
      </c>
      <c r="CT242" s="43">
        <f t="shared" si="553"/>
        <v>0</v>
      </c>
      <c r="CU242" s="43">
        <f t="shared" si="553"/>
        <v>1254.94</v>
      </c>
      <c r="CV242" s="43">
        <f t="shared" si="553"/>
        <v>0</v>
      </c>
      <c r="CW242" s="43">
        <f t="shared" si="554"/>
        <v>313.74</v>
      </c>
      <c r="CX242" s="43">
        <f t="shared" si="554"/>
        <v>0</v>
      </c>
      <c r="CY242" s="43"/>
      <c r="CZ242" s="43"/>
      <c r="DA242" s="43">
        <f t="shared" si="555"/>
        <v>738.74</v>
      </c>
      <c r="DB242" s="43">
        <f t="shared" si="555"/>
        <v>0</v>
      </c>
      <c r="DC242" s="43">
        <v>738.74</v>
      </c>
      <c r="DD242" s="43">
        <v>0</v>
      </c>
      <c r="DE242" s="43">
        <f t="shared" si="556"/>
        <v>0</v>
      </c>
      <c r="DF242" s="43">
        <f t="shared" si="556"/>
        <v>0</v>
      </c>
      <c r="DG242" s="43">
        <f t="shared" si="690"/>
        <v>313.74</v>
      </c>
      <c r="DH242" s="43">
        <f t="shared" si="690"/>
        <v>0</v>
      </c>
      <c r="DI242" s="43">
        <f t="shared" si="691"/>
        <v>313.74</v>
      </c>
      <c r="DJ242" s="43">
        <f t="shared" si="691"/>
        <v>0</v>
      </c>
      <c r="DK242" s="43"/>
      <c r="DL242" s="43"/>
      <c r="DM242" s="43">
        <f t="shared" si="558"/>
        <v>1052.48</v>
      </c>
      <c r="DN242" s="43">
        <f t="shared" si="558"/>
        <v>0</v>
      </c>
      <c r="DO242" s="94">
        <v>1052.48</v>
      </c>
      <c r="DP242" s="95">
        <v>0</v>
      </c>
      <c r="DQ242" s="60">
        <f t="shared" si="559"/>
        <v>0</v>
      </c>
      <c r="DR242" s="60">
        <f t="shared" si="559"/>
        <v>0</v>
      </c>
      <c r="DS242" s="60">
        <f t="shared" si="560"/>
        <v>105.248</v>
      </c>
      <c r="DT242" s="60">
        <f t="shared" si="560"/>
        <v>0</v>
      </c>
      <c r="DU242" s="60">
        <f t="shared" si="561"/>
        <v>105.248</v>
      </c>
      <c r="DV242" s="60">
        <f t="shared" si="561"/>
        <v>0</v>
      </c>
      <c r="DW242" s="60"/>
      <c r="DX242" s="60"/>
      <c r="DY242" s="60">
        <f t="shared" si="569"/>
        <v>105.25</v>
      </c>
      <c r="DZ242" s="60">
        <f t="shared" si="569"/>
        <v>0</v>
      </c>
      <c r="EA242" s="60"/>
      <c r="EB242" s="60"/>
      <c r="EC242" s="43">
        <f t="shared" si="562"/>
        <v>1157.73</v>
      </c>
      <c r="ED242" s="43">
        <f t="shared" si="562"/>
        <v>0</v>
      </c>
      <c r="EE242" s="43">
        <v>1052.48</v>
      </c>
      <c r="EF242" s="43"/>
      <c r="EG242" s="43">
        <f t="shared" si="607"/>
        <v>90.91</v>
      </c>
      <c r="EH242" s="43" t="e">
        <f t="shared" si="607"/>
        <v>#DIV/0!</v>
      </c>
      <c r="EI242" s="43">
        <f t="shared" si="563"/>
        <v>105.25</v>
      </c>
      <c r="EJ242" s="43">
        <f t="shared" si="563"/>
        <v>0</v>
      </c>
      <c r="EK242" s="43">
        <f t="shared" si="564"/>
        <v>95.68</v>
      </c>
      <c r="EL242" s="43">
        <f t="shared" si="564"/>
        <v>0</v>
      </c>
      <c r="EM242" s="43">
        <f t="shared" si="565"/>
        <v>-9.5699999999999932</v>
      </c>
      <c r="EN242" s="43">
        <f t="shared" si="565"/>
        <v>0</v>
      </c>
      <c r="EO242" s="43">
        <v>50</v>
      </c>
      <c r="EP242" s="43">
        <v>0</v>
      </c>
      <c r="EQ242" s="5"/>
      <c r="ER242" s="5"/>
      <c r="ES242" s="5"/>
      <c r="ET242" s="5"/>
      <c r="EU242" s="5">
        <f t="shared" si="642"/>
        <v>47.210000000000036</v>
      </c>
      <c r="EV242" s="5">
        <f t="shared" si="642"/>
        <v>0</v>
      </c>
      <c r="EW242" s="5">
        <v>1254.94</v>
      </c>
      <c r="EX242" s="5">
        <v>0</v>
      </c>
      <c r="EY242" s="5">
        <v>1380</v>
      </c>
      <c r="EZ242" s="5">
        <v>0</v>
      </c>
    </row>
    <row r="243" spans="1:156" ht="18.75" x14ac:dyDescent="0.25">
      <c r="A243" s="37">
        <v>3</v>
      </c>
      <c r="B243" s="37"/>
      <c r="C243" s="91" t="s">
        <v>193</v>
      </c>
      <c r="D243" s="38" t="s">
        <v>506</v>
      </c>
      <c r="E243" s="39"/>
      <c r="F243" s="40">
        <v>299.25</v>
      </c>
      <c r="G243" s="40">
        <v>0</v>
      </c>
      <c r="H243" s="40">
        <v>299.25</v>
      </c>
      <c r="I243" s="40">
        <v>0</v>
      </c>
      <c r="J243" s="41">
        <v>380.96</v>
      </c>
      <c r="K243" s="41">
        <v>0</v>
      </c>
      <c r="L243" s="41">
        <v>0</v>
      </c>
      <c r="M243" s="41">
        <f t="shared" si="684"/>
        <v>380.96</v>
      </c>
      <c r="N243" s="41">
        <v>81.739999999999995</v>
      </c>
      <c r="O243" s="41"/>
      <c r="P243" s="41"/>
      <c r="Q243" s="41">
        <f t="shared" si="685"/>
        <v>81.739999999999995</v>
      </c>
      <c r="R243" s="41">
        <f t="shared" si="686"/>
        <v>462.7</v>
      </c>
      <c r="S243" s="41">
        <v>0</v>
      </c>
      <c r="T243" s="92"/>
      <c r="U243" s="92"/>
      <c r="V243" s="40">
        <f t="shared" si="687"/>
        <v>316.7</v>
      </c>
      <c r="W243" s="40">
        <f t="shared" si="688"/>
        <v>0</v>
      </c>
      <c r="X243" s="43">
        <f t="shared" si="529"/>
        <v>146</v>
      </c>
      <c r="Y243" s="43">
        <f t="shared" si="529"/>
        <v>0</v>
      </c>
      <c r="Z243" s="43">
        <v>246.7</v>
      </c>
      <c r="AA243" s="43">
        <v>70</v>
      </c>
      <c r="AB243" s="43">
        <f t="shared" si="547"/>
        <v>316.7</v>
      </c>
      <c r="AC243" s="43">
        <f t="shared" si="548"/>
        <v>0</v>
      </c>
      <c r="AD243" s="43">
        <f t="shared" si="689"/>
        <v>316.7</v>
      </c>
      <c r="AE243" s="43">
        <f t="shared" si="689"/>
        <v>0</v>
      </c>
      <c r="AF243" s="43">
        <f t="shared" si="570"/>
        <v>0</v>
      </c>
      <c r="AG243" s="43">
        <f t="shared" si="530"/>
        <v>79</v>
      </c>
      <c r="AH243" s="43">
        <f t="shared" si="530"/>
        <v>0</v>
      </c>
      <c r="AI243" s="93">
        <f t="shared" si="531"/>
        <v>26</v>
      </c>
      <c r="AJ243" s="43">
        <f t="shared" si="531"/>
        <v>0</v>
      </c>
      <c r="AK243" s="43"/>
      <c r="AL243" s="43"/>
      <c r="AM243" s="43">
        <f t="shared" si="571"/>
        <v>79.180000000000007</v>
      </c>
      <c r="AN243" s="43">
        <f t="shared" si="572"/>
        <v>0</v>
      </c>
      <c r="AO243" s="43"/>
      <c r="AP243" s="43"/>
      <c r="AQ243" s="43">
        <f t="shared" si="532"/>
        <v>158.18</v>
      </c>
      <c r="AR243" s="43">
        <f t="shared" si="532"/>
        <v>0</v>
      </c>
      <c r="AS243" s="43"/>
      <c r="AT243" s="43"/>
      <c r="AU243" s="43">
        <f t="shared" si="623"/>
        <v>79.180000000000007</v>
      </c>
      <c r="AV243" s="43">
        <f t="shared" si="623"/>
        <v>0</v>
      </c>
      <c r="AW243" s="43"/>
      <c r="AX243" s="43"/>
      <c r="AY243" s="43">
        <f t="shared" si="520"/>
        <v>263.36</v>
      </c>
      <c r="AZ243" s="43">
        <f t="shared" si="520"/>
        <v>0</v>
      </c>
      <c r="BA243" s="43">
        <f t="shared" si="521"/>
        <v>263.36</v>
      </c>
      <c r="BB243" s="60">
        <v>261.77999999999997</v>
      </c>
      <c r="BC243" s="60"/>
      <c r="BD243" s="60">
        <f t="shared" si="522"/>
        <v>1.5800000000000409</v>
      </c>
      <c r="BE243" s="60">
        <f t="shared" si="522"/>
        <v>0</v>
      </c>
      <c r="BF243" s="60">
        <f t="shared" si="523"/>
        <v>52.36</v>
      </c>
      <c r="BG243" s="60">
        <f t="shared" si="523"/>
        <v>0</v>
      </c>
      <c r="BH243" s="43">
        <v>25.39</v>
      </c>
      <c r="BI243" s="43">
        <v>0</v>
      </c>
      <c r="BJ243" s="43"/>
      <c r="BK243" s="43"/>
      <c r="BL243" s="43">
        <f t="shared" si="545"/>
        <v>288.75</v>
      </c>
      <c r="BM243" s="43">
        <f t="shared" si="545"/>
        <v>0</v>
      </c>
      <c r="BN243" s="43">
        <f t="shared" si="573"/>
        <v>288.75</v>
      </c>
      <c r="BO243" s="43">
        <v>261.77999999999997</v>
      </c>
      <c r="BP243" s="93"/>
      <c r="BQ243" s="43">
        <f t="shared" si="549"/>
        <v>26.970000000000027</v>
      </c>
      <c r="BR243" s="43">
        <f t="shared" si="549"/>
        <v>0</v>
      </c>
      <c r="BS243" s="43">
        <f t="shared" si="550"/>
        <v>23.8</v>
      </c>
      <c r="BT243" s="43">
        <f t="shared" si="550"/>
        <v>0</v>
      </c>
      <c r="BU243" s="43">
        <f t="shared" si="692"/>
        <v>-3.17</v>
      </c>
      <c r="BV243" s="43">
        <v>0</v>
      </c>
      <c r="BW243" s="43">
        <v>53.99</v>
      </c>
      <c r="BX243" s="43"/>
      <c r="BY243" s="43"/>
      <c r="BZ243" s="43"/>
      <c r="CA243" s="43">
        <v>339.57</v>
      </c>
      <c r="CB243" s="43">
        <v>0</v>
      </c>
      <c r="CC243" s="92">
        <v>373.53</v>
      </c>
      <c r="CD243" s="92">
        <v>0</v>
      </c>
      <c r="CE243" s="92">
        <v>31</v>
      </c>
      <c r="CF243" s="92">
        <v>0</v>
      </c>
      <c r="CG243" s="92">
        <f t="shared" si="551"/>
        <v>84.89</v>
      </c>
      <c r="CH243" s="92">
        <f t="shared" si="551"/>
        <v>0</v>
      </c>
      <c r="CI243" s="43"/>
      <c r="CJ243" s="43"/>
      <c r="CK243" s="43">
        <v>90</v>
      </c>
      <c r="CL243" s="43">
        <v>0</v>
      </c>
      <c r="CM243" s="43"/>
      <c r="CN243" s="43"/>
      <c r="CO243" s="43">
        <v>391.66</v>
      </c>
      <c r="CP243" s="43"/>
      <c r="CQ243" s="43">
        <f t="shared" si="552"/>
        <v>360</v>
      </c>
      <c r="CR243" s="43">
        <f t="shared" si="552"/>
        <v>0</v>
      </c>
      <c r="CS243" s="43">
        <f t="shared" si="553"/>
        <v>360</v>
      </c>
      <c r="CT243" s="43">
        <f t="shared" si="553"/>
        <v>0</v>
      </c>
      <c r="CU243" s="43">
        <f t="shared" si="553"/>
        <v>360</v>
      </c>
      <c r="CV243" s="43">
        <f t="shared" si="553"/>
        <v>0</v>
      </c>
      <c r="CW243" s="43">
        <f t="shared" si="554"/>
        <v>90</v>
      </c>
      <c r="CX243" s="43">
        <f t="shared" si="554"/>
        <v>0</v>
      </c>
      <c r="CY243" s="43"/>
      <c r="CZ243" s="43"/>
      <c r="DA243" s="43">
        <f t="shared" si="555"/>
        <v>211</v>
      </c>
      <c r="DB243" s="43">
        <f t="shared" si="555"/>
        <v>0</v>
      </c>
      <c r="DC243" s="43">
        <v>211</v>
      </c>
      <c r="DD243" s="43">
        <v>0</v>
      </c>
      <c r="DE243" s="43">
        <f t="shared" si="556"/>
        <v>0</v>
      </c>
      <c r="DF243" s="43">
        <f t="shared" si="556"/>
        <v>0</v>
      </c>
      <c r="DG243" s="43">
        <f t="shared" si="690"/>
        <v>90</v>
      </c>
      <c r="DH243" s="43">
        <f t="shared" si="690"/>
        <v>0</v>
      </c>
      <c r="DI243" s="43">
        <f t="shared" si="691"/>
        <v>90</v>
      </c>
      <c r="DJ243" s="43">
        <f t="shared" si="691"/>
        <v>0</v>
      </c>
      <c r="DK243" s="43"/>
      <c r="DL243" s="43"/>
      <c r="DM243" s="43">
        <f t="shared" si="558"/>
        <v>301</v>
      </c>
      <c r="DN243" s="43">
        <f t="shared" si="558"/>
        <v>0</v>
      </c>
      <c r="DO243" s="104">
        <v>292</v>
      </c>
      <c r="DP243" s="95">
        <v>0</v>
      </c>
      <c r="DQ243" s="60">
        <f t="shared" si="559"/>
        <v>9</v>
      </c>
      <c r="DR243" s="60">
        <f t="shared" si="559"/>
        <v>0</v>
      </c>
      <c r="DS243" s="60">
        <f t="shared" si="560"/>
        <v>29.2</v>
      </c>
      <c r="DT243" s="60">
        <f t="shared" si="560"/>
        <v>0</v>
      </c>
      <c r="DU243" s="60">
        <f t="shared" si="561"/>
        <v>20.2</v>
      </c>
      <c r="DV243" s="60">
        <f t="shared" si="561"/>
        <v>0</v>
      </c>
      <c r="DW243" s="60"/>
      <c r="DX243" s="60"/>
      <c r="DY243" s="60">
        <f t="shared" si="569"/>
        <v>20.2</v>
      </c>
      <c r="DZ243" s="60">
        <f t="shared" si="569"/>
        <v>0</v>
      </c>
      <c r="EA243" s="60"/>
      <c r="EB243" s="60"/>
      <c r="EC243" s="43">
        <f t="shared" si="562"/>
        <v>321.2</v>
      </c>
      <c r="ED243" s="43">
        <f t="shared" si="562"/>
        <v>0</v>
      </c>
      <c r="EE243" s="43">
        <v>292</v>
      </c>
      <c r="EF243" s="43"/>
      <c r="EG243" s="43">
        <f t="shared" si="607"/>
        <v>90.91</v>
      </c>
      <c r="EH243" s="43" t="e">
        <f t="shared" si="607"/>
        <v>#DIV/0!</v>
      </c>
      <c r="EI243" s="43">
        <f t="shared" si="563"/>
        <v>29.2</v>
      </c>
      <c r="EJ243" s="43">
        <f t="shared" si="563"/>
        <v>0</v>
      </c>
      <c r="EK243" s="43">
        <f t="shared" si="564"/>
        <v>26.55</v>
      </c>
      <c r="EL243" s="43">
        <f t="shared" si="564"/>
        <v>0</v>
      </c>
      <c r="EM243" s="43">
        <f t="shared" si="565"/>
        <v>-2.6499999999999986</v>
      </c>
      <c r="EN243" s="43">
        <f t="shared" si="565"/>
        <v>0</v>
      </c>
      <c r="EO243" s="43">
        <v>33</v>
      </c>
      <c r="EP243" s="43">
        <v>0</v>
      </c>
      <c r="EQ243" s="5"/>
      <c r="ER243" s="5"/>
      <c r="ES243" s="5"/>
      <c r="ET243" s="5"/>
      <c r="EU243" s="5">
        <f t="shared" si="642"/>
        <v>5.8000000000000114</v>
      </c>
      <c r="EV243" s="5">
        <f t="shared" si="642"/>
        <v>0</v>
      </c>
      <c r="EW243" s="5">
        <v>360</v>
      </c>
      <c r="EX243" s="5">
        <v>0</v>
      </c>
      <c r="EY243" s="5">
        <v>441.85</v>
      </c>
      <c r="EZ243" s="5">
        <v>0</v>
      </c>
    </row>
    <row r="244" spans="1:156" ht="18.75" x14ac:dyDescent="0.25">
      <c r="A244" s="37">
        <v>4</v>
      </c>
      <c r="B244" s="37"/>
      <c r="C244" s="91" t="s">
        <v>193</v>
      </c>
      <c r="D244" s="38" t="s">
        <v>507</v>
      </c>
      <c r="E244" s="39"/>
      <c r="F244" s="40">
        <v>852.09</v>
      </c>
      <c r="G244" s="40">
        <v>0</v>
      </c>
      <c r="H244" s="40">
        <v>852.09</v>
      </c>
      <c r="I244" s="40">
        <v>0</v>
      </c>
      <c r="J244" s="41">
        <v>940.96</v>
      </c>
      <c r="K244" s="41">
        <v>0</v>
      </c>
      <c r="L244" s="41">
        <v>0</v>
      </c>
      <c r="M244" s="41">
        <f t="shared" si="684"/>
        <v>940.96</v>
      </c>
      <c r="N244" s="41">
        <v>0</v>
      </c>
      <c r="O244" s="41"/>
      <c r="P244" s="41"/>
      <c r="Q244" s="41">
        <f t="shared" si="685"/>
        <v>0</v>
      </c>
      <c r="R244" s="41">
        <f t="shared" si="686"/>
        <v>940.96</v>
      </c>
      <c r="S244" s="41">
        <v>0</v>
      </c>
      <c r="T244" s="92"/>
      <c r="U244" s="92"/>
      <c r="V244" s="40">
        <f t="shared" si="687"/>
        <v>901.77</v>
      </c>
      <c r="W244" s="40">
        <f t="shared" si="688"/>
        <v>0</v>
      </c>
      <c r="X244" s="43">
        <f t="shared" si="529"/>
        <v>39.190000000000055</v>
      </c>
      <c r="Y244" s="43">
        <f t="shared" si="529"/>
        <v>0</v>
      </c>
      <c r="Z244" s="43">
        <v>901.77</v>
      </c>
      <c r="AA244" s="43"/>
      <c r="AB244" s="43">
        <f t="shared" si="547"/>
        <v>901.77</v>
      </c>
      <c r="AC244" s="43">
        <f t="shared" si="548"/>
        <v>0</v>
      </c>
      <c r="AD244" s="43">
        <f t="shared" si="689"/>
        <v>901.77</v>
      </c>
      <c r="AE244" s="43">
        <f t="shared" si="689"/>
        <v>0</v>
      </c>
      <c r="AF244" s="43">
        <f t="shared" si="570"/>
        <v>0</v>
      </c>
      <c r="AG244" s="43">
        <f t="shared" si="530"/>
        <v>225</v>
      </c>
      <c r="AH244" s="43">
        <f t="shared" si="530"/>
        <v>0</v>
      </c>
      <c r="AI244" s="93">
        <f t="shared" si="531"/>
        <v>75</v>
      </c>
      <c r="AJ244" s="43">
        <f t="shared" si="531"/>
        <v>0</v>
      </c>
      <c r="AK244" s="43"/>
      <c r="AL244" s="43"/>
      <c r="AM244" s="43">
        <f t="shared" si="571"/>
        <v>225.44</v>
      </c>
      <c r="AN244" s="43">
        <f t="shared" si="572"/>
        <v>0</v>
      </c>
      <c r="AO244" s="43"/>
      <c r="AP244" s="43"/>
      <c r="AQ244" s="43">
        <f t="shared" si="532"/>
        <v>450.44</v>
      </c>
      <c r="AR244" s="43">
        <f t="shared" si="532"/>
        <v>0</v>
      </c>
      <c r="AS244" s="43"/>
      <c r="AT244" s="43"/>
      <c r="AU244" s="43">
        <f t="shared" si="623"/>
        <v>225.44</v>
      </c>
      <c r="AV244" s="43">
        <f t="shared" si="623"/>
        <v>0</v>
      </c>
      <c r="AW244" s="43"/>
      <c r="AX244" s="43"/>
      <c r="AY244" s="43">
        <f t="shared" si="520"/>
        <v>750.88</v>
      </c>
      <c r="AZ244" s="43">
        <f t="shared" si="520"/>
        <v>0</v>
      </c>
      <c r="BA244" s="43">
        <f t="shared" si="521"/>
        <v>750.88</v>
      </c>
      <c r="BB244" s="60">
        <v>750.88</v>
      </c>
      <c r="BC244" s="60"/>
      <c r="BD244" s="60">
        <f t="shared" si="522"/>
        <v>0</v>
      </c>
      <c r="BE244" s="60">
        <f t="shared" si="522"/>
        <v>0</v>
      </c>
      <c r="BF244" s="60">
        <f t="shared" si="523"/>
        <v>150.18</v>
      </c>
      <c r="BG244" s="60">
        <f t="shared" si="523"/>
        <v>0</v>
      </c>
      <c r="BH244" s="43">
        <v>75.09</v>
      </c>
      <c r="BI244" s="43">
        <v>0</v>
      </c>
      <c r="BJ244" s="43"/>
      <c r="BK244" s="43"/>
      <c r="BL244" s="43">
        <f t="shared" si="545"/>
        <v>825.97</v>
      </c>
      <c r="BM244" s="43">
        <f t="shared" si="545"/>
        <v>0</v>
      </c>
      <c r="BN244" s="43">
        <f t="shared" si="573"/>
        <v>825.97</v>
      </c>
      <c r="BO244" s="43">
        <v>750.88</v>
      </c>
      <c r="BP244" s="93"/>
      <c r="BQ244" s="43">
        <f t="shared" si="549"/>
        <v>75.090000000000032</v>
      </c>
      <c r="BR244" s="43">
        <f t="shared" si="549"/>
        <v>0</v>
      </c>
      <c r="BS244" s="43">
        <f t="shared" si="550"/>
        <v>68.260000000000005</v>
      </c>
      <c r="BT244" s="43">
        <f t="shared" si="550"/>
        <v>0</v>
      </c>
      <c r="BU244" s="43">
        <f>ROUND(BS244-BQ244,2)</f>
        <v>-6.83</v>
      </c>
      <c r="BV244" s="43">
        <v>0</v>
      </c>
      <c r="BW244" s="43">
        <v>82.63</v>
      </c>
      <c r="BX244" s="43"/>
      <c r="BY244" s="43"/>
      <c r="BZ244" s="43"/>
      <c r="CA244" s="43">
        <v>901.77</v>
      </c>
      <c r="CB244" s="43">
        <v>0</v>
      </c>
      <c r="CC244" s="92">
        <v>991.95</v>
      </c>
      <c r="CD244" s="92">
        <v>0</v>
      </c>
      <c r="CE244" s="92">
        <v>83</v>
      </c>
      <c r="CF244" s="92">
        <v>0</v>
      </c>
      <c r="CG244" s="92">
        <f t="shared" si="551"/>
        <v>225.44</v>
      </c>
      <c r="CH244" s="92">
        <f t="shared" si="551"/>
        <v>0</v>
      </c>
      <c r="CI244" s="43"/>
      <c r="CJ244" s="43"/>
      <c r="CK244" s="72">
        <f>370-70-50</f>
        <v>250</v>
      </c>
      <c r="CL244" s="43">
        <v>0</v>
      </c>
      <c r="CM244" s="43"/>
      <c r="CN244" s="43"/>
      <c r="CO244" s="43">
        <v>1033.21</v>
      </c>
      <c r="CP244" s="43"/>
      <c r="CQ244" s="43">
        <f t="shared" si="552"/>
        <v>1000</v>
      </c>
      <c r="CR244" s="43">
        <f t="shared" si="552"/>
        <v>0</v>
      </c>
      <c r="CS244" s="43">
        <f t="shared" si="553"/>
        <v>1000</v>
      </c>
      <c r="CT244" s="43">
        <f t="shared" si="553"/>
        <v>0</v>
      </c>
      <c r="CU244" s="43">
        <v>1050</v>
      </c>
      <c r="CV244" s="43">
        <v>0</v>
      </c>
      <c r="CW244" s="43">
        <f t="shared" si="554"/>
        <v>262.5</v>
      </c>
      <c r="CX244" s="43">
        <f t="shared" si="554"/>
        <v>0</v>
      </c>
      <c r="CY244" s="43"/>
      <c r="CZ244" s="43"/>
      <c r="DA244" s="43">
        <f t="shared" si="555"/>
        <v>595.5</v>
      </c>
      <c r="DB244" s="43">
        <f t="shared" si="555"/>
        <v>0</v>
      </c>
      <c r="DC244" s="43">
        <v>595.5</v>
      </c>
      <c r="DD244" s="43">
        <v>0</v>
      </c>
      <c r="DE244" s="43">
        <f t="shared" si="556"/>
        <v>0</v>
      </c>
      <c r="DF244" s="43">
        <f t="shared" si="556"/>
        <v>0</v>
      </c>
      <c r="DG244" s="43">
        <f t="shared" si="690"/>
        <v>262.5</v>
      </c>
      <c r="DH244" s="43">
        <f t="shared" si="690"/>
        <v>0</v>
      </c>
      <c r="DI244" s="43">
        <f t="shared" si="691"/>
        <v>262.5</v>
      </c>
      <c r="DJ244" s="43">
        <f t="shared" si="691"/>
        <v>0</v>
      </c>
      <c r="DK244" s="43"/>
      <c r="DL244" s="43"/>
      <c r="DM244" s="43">
        <f t="shared" si="558"/>
        <v>858</v>
      </c>
      <c r="DN244" s="43">
        <f t="shared" si="558"/>
        <v>0</v>
      </c>
      <c r="DO244" s="104">
        <v>858</v>
      </c>
      <c r="DP244" s="95">
        <v>0</v>
      </c>
      <c r="DQ244" s="60">
        <f t="shared" si="559"/>
        <v>0</v>
      </c>
      <c r="DR244" s="60">
        <f t="shared" si="559"/>
        <v>0</v>
      </c>
      <c r="DS244" s="60">
        <f t="shared" si="560"/>
        <v>85.8</v>
      </c>
      <c r="DT244" s="60">
        <f t="shared" si="560"/>
        <v>0</v>
      </c>
      <c r="DU244" s="60">
        <f t="shared" si="561"/>
        <v>85.8</v>
      </c>
      <c r="DV244" s="60">
        <f t="shared" si="561"/>
        <v>0</v>
      </c>
      <c r="DW244" s="60"/>
      <c r="DX244" s="60"/>
      <c r="DY244" s="60">
        <f t="shared" si="569"/>
        <v>85.8</v>
      </c>
      <c r="DZ244" s="60">
        <f t="shared" si="569"/>
        <v>0</v>
      </c>
      <c r="EA244" s="60"/>
      <c r="EB244" s="60"/>
      <c r="EC244" s="43">
        <f t="shared" si="562"/>
        <v>943.8</v>
      </c>
      <c r="ED244" s="43">
        <f t="shared" si="562"/>
        <v>0</v>
      </c>
      <c r="EE244" s="43">
        <v>858</v>
      </c>
      <c r="EF244" s="43"/>
      <c r="EG244" s="43">
        <f t="shared" si="607"/>
        <v>90.91</v>
      </c>
      <c r="EH244" s="43" t="e">
        <f t="shared" si="607"/>
        <v>#DIV/0!</v>
      </c>
      <c r="EI244" s="43">
        <f t="shared" si="563"/>
        <v>85.8</v>
      </c>
      <c r="EJ244" s="43">
        <f t="shared" si="563"/>
        <v>0</v>
      </c>
      <c r="EK244" s="43">
        <f t="shared" si="564"/>
        <v>78</v>
      </c>
      <c r="EL244" s="43">
        <f t="shared" si="564"/>
        <v>0</v>
      </c>
      <c r="EM244" s="43">
        <f t="shared" si="565"/>
        <v>-7.7999999999999972</v>
      </c>
      <c r="EN244" s="43">
        <f t="shared" si="565"/>
        <v>0</v>
      </c>
      <c r="EO244" s="43">
        <v>105</v>
      </c>
      <c r="EP244" s="43">
        <v>0</v>
      </c>
      <c r="EQ244" s="5"/>
      <c r="ER244" s="5"/>
      <c r="ES244" s="5"/>
      <c r="ET244" s="5"/>
      <c r="EU244" s="5">
        <f t="shared" si="642"/>
        <v>1.2000000000000455</v>
      </c>
      <c r="EV244" s="5">
        <f t="shared" si="642"/>
        <v>0</v>
      </c>
      <c r="EW244" s="5">
        <v>1050</v>
      </c>
      <c r="EX244" s="5">
        <v>0</v>
      </c>
      <c r="EY244" s="5">
        <v>1138.56</v>
      </c>
      <c r="EZ244" s="5">
        <v>0</v>
      </c>
    </row>
    <row r="245" spans="1:156" ht="18.75" x14ac:dyDescent="0.25">
      <c r="A245" s="37">
        <v>5</v>
      </c>
      <c r="B245" s="37"/>
      <c r="C245" s="91" t="s">
        <v>193</v>
      </c>
      <c r="D245" s="38" t="s">
        <v>508</v>
      </c>
      <c r="E245" s="39"/>
      <c r="F245" s="40">
        <v>370</v>
      </c>
      <c r="G245" s="40">
        <v>0</v>
      </c>
      <c r="H245" s="40">
        <v>370</v>
      </c>
      <c r="I245" s="40">
        <v>0</v>
      </c>
      <c r="J245" s="41">
        <v>471.71</v>
      </c>
      <c r="K245" s="41">
        <v>0</v>
      </c>
      <c r="L245" s="41">
        <v>0</v>
      </c>
      <c r="M245" s="41">
        <f t="shared" si="684"/>
        <v>471.71</v>
      </c>
      <c r="N245" s="41">
        <v>33</v>
      </c>
      <c r="O245" s="41"/>
      <c r="P245" s="41"/>
      <c r="Q245" s="41">
        <f t="shared" si="685"/>
        <v>33</v>
      </c>
      <c r="R245" s="41">
        <f t="shared" si="686"/>
        <v>504.71</v>
      </c>
      <c r="S245" s="41">
        <v>0</v>
      </c>
      <c r="T245" s="92"/>
      <c r="U245" s="92"/>
      <c r="V245" s="40">
        <f t="shared" si="687"/>
        <v>391.57</v>
      </c>
      <c r="W245" s="40">
        <f t="shared" si="688"/>
        <v>0</v>
      </c>
      <c r="X245" s="43">
        <f t="shared" si="529"/>
        <v>113.13999999999999</v>
      </c>
      <c r="Y245" s="43">
        <f t="shared" si="529"/>
        <v>0</v>
      </c>
      <c r="Z245" s="43">
        <v>361.57</v>
      </c>
      <c r="AA245" s="43">
        <v>30</v>
      </c>
      <c r="AB245" s="43">
        <f t="shared" si="547"/>
        <v>391.57</v>
      </c>
      <c r="AC245" s="43">
        <f t="shared" si="548"/>
        <v>0</v>
      </c>
      <c r="AD245" s="43">
        <f t="shared" si="689"/>
        <v>391.57</v>
      </c>
      <c r="AE245" s="43">
        <f t="shared" si="689"/>
        <v>0</v>
      </c>
      <c r="AF245" s="43">
        <f t="shared" si="570"/>
        <v>0</v>
      </c>
      <c r="AG245" s="43">
        <f t="shared" si="530"/>
        <v>98</v>
      </c>
      <c r="AH245" s="43">
        <f t="shared" si="530"/>
        <v>0</v>
      </c>
      <c r="AI245" s="93">
        <f t="shared" si="531"/>
        <v>33</v>
      </c>
      <c r="AJ245" s="43">
        <f t="shared" si="531"/>
        <v>0</v>
      </c>
      <c r="AK245" s="43"/>
      <c r="AL245" s="43"/>
      <c r="AM245" s="43">
        <f t="shared" si="571"/>
        <v>97.89</v>
      </c>
      <c r="AN245" s="43">
        <f t="shared" si="572"/>
        <v>0</v>
      </c>
      <c r="AO245" s="43"/>
      <c r="AP245" s="43"/>
      <c r="AQ245" s="43">
        <f t="shared" si="532"/>
        <v>195.89</v>
      </c>
      <c r="AR245" s="43">
        <f t="shared" si="532"/>
        <v>0</v>
      </c>
      <c r="AS245" s="43"/>
      <c r="AT245" s="43"/>
      <c r="AU245" s="43">
        <f t="shared" si="623"/>
        <v>97.89</v>
      </c>
      <c r="AV245" s="43">
        <f t="shared" si="623"/>
        <v>0</v>
      </c>
      <c r="AW245" s="43"/>
      <c r="AX245" s="43"/>
      <c r="AY245" s="43">
        <f t="shared" si="520"/>
        <v>326.77999999999997</v>
      </c>
      <c r="AZ245" s="43">
        <f t="shared" si="520"/>
        <v>0</v>
      </c>
      <c r="BA245" s="43">
        <f t="shared" si="521"/>
        <v>326.77999999999997</v>
      </c>
      <c r="BB245" s="60">
        <v>326.77999999999997</v>
      </c>
      <c r="BC245" s="60"/>
      <c r="BD245" s="60">
        <f t="shared" si="522"/>
        <v>0</v>
      </c>
      <c r="BE245" s="60">
        <f t="shared" si="522"/>
        <v>0</v>
      </c>
      <c r="BF245" s="60">
        <f t="shared" si="523"/>
        <v>65.36</v>
      </c>
      <c r="BG245" s="60">
        <f t="shared" si="523"/>
        <v>0</v>
      </c>
      <c r="BH245" s="43">
        <v>32.4</v>
      </c>
      <c r="BI245" s="43">
        <v>0</v>
      </c>
      <c r="BJ245" s="43"/>
      <c r="BK245" s="43"/>
      <c r="BL245" s="43">
        <f t="shared" si="545"/>
        <v>359.17999999999995</v>
      </c>
      <c r="BM245" s="43">
        <f t="shared" si="545"/>
        <v>0</v>
      </c>
      <c r="BN245" s="43">
        <f t="shared" si="573"/>
        <v>359.17999999999995</v>
      </c>
      <c r="BO245" s="43">
        <v>326.77999999999997</v>
      </c>
      <c r="BP245" s="93"/>
      <c r="BQ245" s="43">
        <f t="shared" si="549"/>
        <v>32.399999999999977</v>
      </c>
      <c r="BR245" s="43">
        <f t="shared" si="549"/>
        <v>0</v>
      </c>
      <c r="BS245" s="43">
        <f t="shared" si="550"/>
        <v>29.71</v>
      </c>
      <c r="BT245" s="43">
        <f t="shared" si="550"/>
        <v>0</v>
      </c>
      <c r="BU245" s="43">
        <f>ROUND(BS245-BQ245,2)</f>
        <v>-2.69</v>
      </c>
      <c r="BV245" s="43">
        <v>0</v>
      </c>
      <c r="BW245" s="43">
        <v>55.39</v>
      </c>
      <c r="BX245" s="43"/>
      <c r="BY245" s="43"/>
      <c r="BZ245" s="43"/>
      <c r="CA245" s="43">
        <v>411.87999999999994</v>
      </c>
      <c r="CB245" s="43">
        <v>0</v>
      </c>
      <c r="CC245" s="92">
        <v>453.07</v>
      </c>
      <c r="CD245" s="92">
        <v>0</v>
      </c>
      <c r="CE245" s="92">
        <v>38</v>
      </c>
      <c r="CF245" s="92">
        <v>0</v>
      </c>
      <c r="CG245" s="92">
        <f t="shared" si="551"/>
        <v>102.97</v>
      </c>
      <c r="CH245" s="92">
        <f t="shared" si="551"/>
        <v>0</v>
      </c>
      <c r="CI245" s="43"/>
      <c r="CJ245" s="43"/>
      <c r="CK245" s="43">
        <v>120</v>
      </c>
      <c r="CL245" s="43">
        <v>0</v>
      </c>
      <c r="CM245" s="43"/>
      <c r="CN245" s="43"/>
      <c r="CO245" s="43">
        <v>446.35</v>
      </c>
      <c r="CP245" s="43"/>
      <c r="CQ245" s="43">
        <f t="shared" si="552"/>
        <v>480</v>
      </c>
      <c r="CR245" s="43">
        <f t="shared" si="552"/>
        <v>0</v>
      </c>
      <c r="CS245" s="43">
        <f t="shared" si="553"/>
        <v>446.35</v>
      </c>
      <c r="CT245" s="43">
        <f t="shared" si="553"/>
        <v>0</v>
      </c>
      <c r="CU245" s="43">
        <f t="shared" si="553"/>
        <v>446.35</v>
      </c>
      <c r="CV245" s="43">
        <f t="shared" si="553"/>
        <v>0</v>
      </c>
      <c r="CW245" s="43">
        <f t="shared" si="554"/>
        <v>111.59</v>
      </c>
      <c r="CX245" s="43">
        <f t="shared" si="554"/>
        <v>0</v>
      </c>
      <c r="CY245" s="43"/>
      <c r="CZ245" s="43"/>
      <c r="DA245" s="43">
        <f t="shared" si="555"/>
        <v>269.59000000000003</v>
      </c>
      <c r="DB245" s="43">
        <f t="shared" si="555"/>
        <v>0</v>
      </c>
      <c r="DC245" s="43">
        <v>269.58999999999997</v>
      </c>
      <c r="DD245" s="43">
        <v>0</v>
      </c>
      <c r="DE245" s="43">
        <f t="shared" si="556"/>
        <v>0</v>
      </c>
      <c r="DF245" s="43">
        <f t="shared" si="556"/>
        <v>0</v>
      </c>
      <c r="DG245" s="43">
        <f t="shared" si="690"/>
        <v>111.59</v>
      </c>
      <c r="DH245" s="43">
        <f t="shared" si="690"/>
        <v>0</v>
      </c>
      <c r="DI245" s="43">
        <f t="shared" si="691"/>
        <v>111.59</v>
      </c>
      <c r="DJ245" s="43">
        <f t="shared" si="691"/>
        <v>0</v>
      </c>
      <c r="DK245" s="43"/>
      <c r="DL245" s="43"/>
      <c r="DM245" s="43">
        <f t="shared" si="558"/>
        <v>381.18000000000006</v>
      </c>
      <c r="DN245" s="43">
        <f t="shared" si="558"/>
        <v>0</v>
      </c>
      <c r="DO245" s="104">
        <v>371.18</v>
      </c>
      <c r="DP245" s="95">
        <v>0</v>
      </c>
      <c r="DQ245" s="60">
        <f t="shared" si="559"/>
        <v>10</v>
      </c>
      <c r="DR245" s="60">
        <f t="shared" si="559"/>
        <v>0</v>
      </c>
      <c r="DS245" s="60">
        <f t="shared" si="560"/>
        <v>37.118000000000002</v>
      </c>
      <c r="DT245" s="60">
        <f t="shared" si="560"/>
        <v>0</v>
      </c>
      <c r="DU245" s="60">
        <f t="shared" si="561"/>
        <v>27.118000000000002</v>
      </c>
      <c r="DV245" s="60">
        <f t="shared" si="561"/>
        <v>0</v>
      </c>
      <c r="DW245" s="60"/>
      <c r="DX245" s="60"/>
      <c r="DY245" s="60">
        <f t="shared" si="569"/>
        <v>27.12</v>
      </c>
      <c r="DZ245" s="60">
        <f t="shared" si="569"/>
        <v>0</v>
      </c>
      <c r="EA245" s="60"/>
      <c r="EB245" s="60"/>
      <c r="EC245" s="43">
        <f t="shared" si="562"/>
        <v>408.30000000000007</v>
      </c>
      <c r="ED245" s="43">
        <f t="shared" si="562"/>
        <v>0</v>
      </c>
      <c r="EE245" s="43">
        <v>371.18</v>
      </c>
      <c r="EF245" s="43"/>
      <c r="EG245" s="43">
        <f t="shared" si="607"/>
        <v>90.91</v>
      </c>
      <c r="EH245" s="43" t="e">
        <f t="shared" si="607"/>
        <v>#DIV/0!</v>
      </c>
      <c r="EI245" s="43">
        <f t="shared" si="563"/>
        <v>37.119999999999997</v>
      </c>
      <c r="EJ245" s="43">
        <f t="shared" si="563"/>
        <v>0</v>
      </c>
      <c r="EK245" s="43">
        <f t="shared" si="564"/>
        <v>33.74</v>
      </c>
      <c r="EL245" s="43">
        <f t="shared" si="564"/>
        <v>0</v>
      </c>
      <c r="EM245" s="43">
        <f t="shared" si="565"/>
        <v>-3.3799999999999955</v>
      </c>
      <c r="EN245" s="43">
        <f t="shared" si="565"/>
        <v>0</v>
      </c>
      <c r="EO245" s="43">
        <v>0</v>
      </c>
      <c r="EP245" s="43">
        <v>0</v>
      </c>
      <c r="EQ245" s="5"/>
      <c r="ER245" s="5"/>
      <c r="ES245" s="5"/>
      <c r="ET245" s="5"/>
      <c r="EU245" s="5">
        <f t="shared" si="642"/>
        <v>38.049999999999955</v>
      </c>
      <c r="EV245" s="5">
        <f t="shared" si="642"/>
        <v>0</v>
      </c>
      <c r="EW245" s="55">
        <f>416.35+30</f>
        <v>446.35</v>
      </c>
      <c r="EX245" s="5">
        <v>0</v>
      </c>
      <c r="EY245" s="5">
        <f>33+466.27</f>
        <v>499.27</v>
      </c>
      <c r="EZ245" s="5">
        <v>0</v>
      </c>
    </row>
    <row r="246" spans="1:156" ht="18.75" x14ac:dyDescent="0.25">
      <c r="A246" s="37">
        <v>6</v>
      </c>
      <c r="B246" s="37"/>
      <c r="C246" s="91" t="s">
        <v>193</v>
      </c>
      <c r="D246" s="38" t="s">
        <v>509</v>
      </c>
      <c r="E246" s="39"/>
      <c r="F246" s="40">
        <v>0</v>
      </c>
      <c r="G246" s="40">
        <v>0</v>
      </c>
      <c r="H246" s="40">
        <v>0</v>
      </c>
      <c r="I246" s="40">
        <v>0</v>
      </c>
      <c r="J246" s="41">
        <v>0</v>
      </c>
      <c r="K246" s="41">
        <v>0</v>
      </c>
      <c r="L246" s="41">
        <v>0</v>
      </c>
      <c r="M246" s="41">
        <f t="shared" si="684"/>
        <v>0</v>
      </c>
      <c r="N246" s="41">
        <v>0</v>
      </c>
      <c r="O246" s="41"/>
      <c r="P246" s="41"/>
      <c r="Q246" s="41">
        <f t="shared" si="685"/>
        <v>0</v>
      </c>
      <c r="R246" s="41">
        <f t="shared" si="686"/>
        <v>0</v>
      </c>
      <c r="S246" s="41">
        <v>0</v>
      </c>
      <c r="T246" s="92"/>
      <c r="U246" s="92"/>
      <c r="V246" s="40">
        <f t="shared" si="687"/>
        <v>0</v>
      </c>
      <c r="W246" s="40">
        <f t="shared" si="688"/>
        <v>0</v>
      </c>
      <c r="X246" s="43">
        <f t="shared" si="529"/>
        <v>0</v>
      </c>
      <c r="Y246" s="43">
        <f t="shared" si="529"/>
        <v>0</v>
      </c>
      <c r="Z246" s="43">
        <v>0</v>
      </c>
      <c r="AA246" s="43"/>
      <c r="AB246" s="43">
        <f t="shared" si="547"/>
        <v>0</v>
      </c>
      <c r="AC246" s="43">
        <f t="shared" si="548"/>
        <v>0</v>
      </c>
      <c r="AD246" s="43">
        <f t="shared" si="689"/>
        <v>0</v>
      </c>
      <c r="AE246" s="43">
        <f t="shared" si="689"/>
        <v>0</v>
      </c>
      <c r="AF246" s="43">
        <f t="shared" si="570"/>
        <v>0</v>
      </c>
      <c r="AG246" s="43">
        <f t="shared" si="530"/>
        <v>0</v>
      </c>
      <c r="AH246" s="43">
        <f t="shared" si="530"/>
        <v>0</v>
      </c>
      <c r="AI246" s="93">
        <f t="shared" si="531"/>
        <v>0</v>
      </c>
      <c r="AJ246" s="43">
        <f t="shared" si="531"/>
        <v>0</v>
      </c>
      <c r="AK246" s="43"/>
      <c r="AL246" s="43"/>
      <c r="AM246" s="43">
        <f t="shared" si="571"/>
        <v>0</v>
      </c>
      <c r="AN246" s="43">
        <f t="shared" si="572"/>
        <v>0</v>
      </c>
      <c r="AO246" s="43"/>
      <c r="AP246" s="43"/>
      <c r="AQ246" s="43">
        <f t="shared" si="532"/>
        <v>0</v>
      </c>
      <c r="AR246" s="43">
        <f t="shared" si="532"/>
        <v>0</v>
      </c>
      <c r="AS246" s="43"/>
      <c r="AT246" s="43"/>
      <c r="AU246" s="43">
        <f t="shared" si="623"/>
        <v>0</v>
      </c>
      <c r="AV246" s="43">
        <f t="shared" si="623"/>
        <v>0</v>
      </c>
      <c r="AW246" s="43"/>
      <c r="AX246" s="43"/>
      <c r="AY246" s="43">
        <f t="shared" si="520"/>
        <v>0</v>
      </c>
      <c r="AZ246" s="43">
        <f t="shared" si="520"/>
        <v>0</v>
      </c>
      <c r="BA246" s="43">
        <f t="shared" si="521"/>
        <v>0</v>
      </c>
      <c r="BB246" s="60">
        <v>0</v>
      </c>
      <c r="BC246" s="60"/>
      <c r="BD246" s="60">
        <f t="shared" si="522"/>
        <v>0</v>
      </c>
      <c r="BE246" s="60">
        <f t="shared" si="522"/>
        <v>0</v>
      </c>
      <c r="BF246" s="60">
        <f t="shared" si="523"/>
        <v>0</v>
      </c>
      <c r="BG246" s="60">
        <f t="shared" si="523"/>
        <v>0</v>
      </c>
      <c r="BH246" s="43">
        <v>0</v>
      </c>
      <c r="BI246" s="43">
        <v>0</v>
      </c>
      <c r="BJ246" s="43"/>
      <c r="BK246" s="43"/>
      <c r="BL246" s="43">
        <f t="shared" si="545"/>
        <v>0</v>
      </c>
      <c r="BM246" s="43">
        <f t="shared" si="545"/>
        <v>0</v>
      </c>
      <c r="BN246" s="43">
        <f t="shared" si="573"/>
        <v>0</v>
      </c>
      <c r="BO246" s="43">
        <v>0</v>
      </c>
      <c r="BP246" s="93"/>
      <c r="BQ246" s="43">
        <f t="shared" si="549"/>
        <v>0</v>
      </c>
      <c r="BR246" s="43">
        <f t="shared" si="549"/>
        <v>0</v>
      </c>
      <c r="BS246" s="43">
        <f t="shared" si="550"/>
        <v>0</v>
      </c>
      <c r="BT246" s="43">
        <f t="shared" si="550"/>
        <v>0</v>
      </c>
      <c r="BU246" s="43">
        <f t="shared" si="583"/>
        <v>0</v>
      </c>
      <c r="BV246" s="43">
        <v>0</v>
      </c>
      <c r="BW246" s="43"/>
      <c r="BX246" s="43"/>
      <c r="BY246" s="43"/>
      <c r="BZ246" s="43"/>
      <c r="CA246" s="43">
        <v>0</v>
      </c>
      <c r="CB246" s="43">
        <v>0</v>
      </c>
      <c r="CC246" s="92">
        <v>0</v>
      </c>
      <c r="CD246" s="92">
        <v>0</v>
      </c>
      <c r="CE246" s="92">
        <v>0</v>
      </c>
      <c r="CF246" s="92">
        <v>0</v>
      </c>
      <c r="CG246" s="92">
        <f t="shared" si="551"/>
        <v>0</v>
      </c>
      <c r="CH246" s="92">
        <f t="shared" si="551"/>
        <v>0</v>
      </c>
      <c r="CI246" s="43"/>
      <c r="CJ246" s="43"/>
      <c r="CK246" s="43">
        <v>0</v>
      </c>
      <c r="CL246" s="43">
        <v>0</v>
      </c>
      <c r="CM246" s="43"/>
      <c r="CN246" s="43"/>
      <c r="CO246" s="43"/>
      <c r="CP246" s="43"/>
      <c r="CQ246" s="43">
        <f t="shared" si="552"/>
        <v>0</v>
      </c>
      <c r="CR246" s="43">
        <f t="shared" si="552"/>
        <v>0</v>
      </c>
      <c r="CS246" s="43">
        <f t="shared" si="553"/>
        <v>0</v>
      </c>
      <c r="CT246" s="43">
        <f t="shared" si="553"/>
        <v>0</v>
      </c>
      <c r="CU246" s="43">
        <f t="shared" si="553"/>
        <v>0</v>
      </c>
      <c r="CV246" s="43">
        <f t="shared" si="553"/>
        <v>0</v>
      </c>
      <c r="CW246" s="43">
        <f t="shared" si="554"/>
        <v>0</v>
      </c>
      <c r="CX246" s="43">
        <f t="shared" si="554"/>
        <v>0</v>
      </c>
      <c r="CY246" s="43"/>
      <c r="CZ246" s="43"/>
      <c r="DA246" s="43">
        <f t="shared" si="555"/>
        <v>0</v>
      </c>
      <c r="DB246" s="43">
        <f t="shared" si="555"/>
        <v>0</v>
      </c>
      <c r="DC246" s="43">
        <v>0</v>
      </c>
      <c r="DD246" s="43">
        <v>0</v>
      </c>
      <c r="DE246" s="43">
        <f t="shared" si="556"/>
        <v>0</v>
      </c>
      <c r="DF246" s="43">
        <f t="shared" si="556"/>
        <v>0</v>
      </c>
      <c r="DG246" s="43">
        <f t="shared" si="690"/>
        <v>0</v>
      </c>
      <c r="DH246" s="43">
        <f t="shared" si="690"/>
        <v>0</v>
      </c>
      <c r="DI246" s="43">
        <f t="shared" si="691"/>
        <v>0</v>
      </c>
      <c r="DJ246" s="43">
        <f t="shared" si="691"/>
        <v>0</v>
      </c>
      <c r="DK246" s="43"/>
      <c r="DL246" s="43"/>
      <c r="DM246" s="43">
        <f t="shared" si="558"/>
        <v>0</v>
      </c>
      <c r="DN246" s="43">
        <f t="shared" si="558"/>
        <v>0</v>
      </c>
      <c r="DO246" s="104">
        <v>0</v>
      </c>
      <c r="DP246" s="95">
        <v>0</v>
      </c>
      <c r="DQ246" s="60">
        <f t="shared" si="559"/>
        <v>0</v>
      </c>
      <c r="DR246" s="60">
        <f t="shared" si="559"/>
        <v>0</v>
      </c>
      <c r="DS246" s="60">
        <f t="shared" si="560"/>
        <v>0</v>
      </c>
      <c r="DT246" s="60">
        <f t="shared" si="560"/>
        <v>0</v>
      </c>
      <c r="DU246" s="60">
        <f t="shared" si="561"/>
        <v>0</v>
      </c>
      <c r="DV246" s="60">
        <f t="shared" si="561"/>
        <v>0</v>
      </c>
      <c r="DW246" s="60"/>
      <c r="DX246" s="60"/>
      <c r="DY246" s="60">
        <f t="shared" si="569"/>
        <v>0</v>
      </c>
      <c r="DZ246" s="60">
        <f t="shared" si="569"/>
        <v>0</v>
      </c>
      <c r="EA246" s="60"/>
      <c r="EB246" s="60"/>
      <c r="EC246" s="43">
        <f t="shared" si="562"/>
        <v>0</v>
      </c>
      <c r="ED246" s="43">
        <f t="shared" si="562"/>
        <v>0</v>
      </c>
      <c r="EE246" s="43"/>
      <c r="EF246" s="43"/>
      <c r="EG246" s="43" t="e">
        <f t="shared" si="607"/>
        <v>#DIV/0!</v>
      </c>
      <c r="EH246" s="43" t="e">
        <f t="shared" si="607"/>
        <v>#DIV/0!</v>
      </c>
      <c r="EI246" s="43">
        <f t="shared" si="563"/>
        <v>0</v>
      </c>
      <c r="EJ246" s="43">
        <f t="shared" si="563"/>
        <v>0</v>
      </c>
      <c r="EK246" s="43">
        <f t="shared" si="564"/>
        <v>0</v>
      </c>
      <c r="EL246" s="43">
        <f t="shared" si="564"/>
        <v>0</v>
      </c>
      <c r="EM246" s="43">
        <f t="shared" si="565"/>
        <v>0</v>
      </c>
      <c r="EN246" s="43">
        <f t="shared" si="565"/>
        <v>0</v>
      </c>
      <c r="EO246" s="43">
        <v>0</v>
      </c>
      <c r="EP246" s="43">
        <v>0</v>
      </c>
      <c r="EQ246" s="5"/>
      <c r="ER246" s="5"/>
      <c r="ES246" s="5"/>
      <c r="ET246" s="5"/>
      <c r="EU246" s="5">
        <f t="shared" si="642"/>
        <v>0</v>
      </c>
      <c r="EV246" s="5">
        <f t="shared" si="642"/>
        <v>0</v>
      </c>
      <c r="EW246" s="5">
        <v>0</v>
      </c>
      <c r="EX246" s="5">
        <v>0</v>
      </c>
      <c r="EY246" s="5">
        <v>0</v>
      </c>
      <c r="EZ246" s="5">
        <v>0</v>
      </c>
    </row>
    <row r="247" spans="1:156" ht="18.75" x14ac:dyDescent="0.25">
      <c r="A247" s="37">
        <v>7</v>
      </c>
      <c r="B247" s="37"/>
      <c r="C247" s="91" t="s">
        <v>193</v>
      </c>
      <c r="D247" s="38" t="s">
        <v>510</v>
      </c>
      <c r="E247" s="39"/>
      <c r="F247" s="40">
        <v>0</v>
      </c>
      <c r="G247" s="40">
        <v>0</v>
      </c>
      <c r="H247" s="40">
        <v>0</v>
      </c>
      <c r="I247" s="40">
        <v>0</v>
      </c>
      <c r="J247" s="41">
        <v>0</v>
      </c>
      <c r="K247" s="41">
        <v>0</v>
      </c>
      <c r="L247" s="41">
        <v>0</v>
      </c>
      <c r="M247" s="41">
        <f t="shared" si="684"/>
        <v>0</v>
      </c>
      <c r="N247" s="41">
        <v>0</v>
      </c>
      <c r="O247" s="41"/>
      <c r="P247" s="41"/>
      <c r="Q247" s="41">
        <f t="shared" si="685"/>
        <v>0</v>
      </c>
      <c r="R247" s="41">
        <f t="shared" si="686"/>
        <v>0</v>
      </c>
      <c r="S247" s="41">
        <v>0</v>
      </c>
      <c r="T247" s="92"/>
      <c r="U247" s="92"/>
      <c r="V247" s="40">
        <f t="shared" si="687"/>
        <v>0</v>
      </c>
      <c r="W247" s="40">
        <f t="shared" si="688"/>
        <v>0</v>
      </c>
      <c r="X247" s="43">
        <f t="shared" si="529"/>
        <v>0</v>
      </c>
      <c r="Y247" s="43">
        <f t="shared" si="529"/>
        <v>0</v>
      </c>
      <c r="Z247" s="43">
        <v>0</v>
      </c>
      <c r="AA247" s="43"/>
      <c r="AB247" s="43">
        <f t="shared" si="547"/>
        <v>0</v>
      </c>
      <c r="AC247" s="43">
        <f t="shared" si="548"/>
        <v>0</v>
      </c>
      <c r="AD247" s="43">
        <f t="shared" si="689"/>
        <v>0</v>
      </c>
      <c r="AE247" s="43">
        <f t="shared" si="689"/>
        <v>0</v>
      </c>
      <c r="AF247" s="43">
        <f t="shared" si="570"/>
        <v>0</v>
      </c>
      <c r="AG247" s="43">
        <f t="shared" si="530"/>
        <v>0</v>
      </c>
      <c r="AH247" s="43">
        <f t="shared" si="530"/>
        <v>0</v>
      </c>
      <c r="AI247" s="93">
        <f t="shared" si="531"/>
        <v>0</v>
      </c>
      <c r="AJ247" s="43">
        <f t="shared" si="531"/>
        <v>0</v>
      </c>
      <c r="AK247" s="43"/>
      <c r="AL247" s="43"/>
      <c r="AM247" s="43">
        <f t="shared" si="571"/>
        <v>0</v>
      </c>
      <c r="AN247" s="43">
        <f t="shared" si="572"/>
        <v>0</v>
      </c>
      <c r="AO247" s="43"/>
      <c r="AP247" s="43"/>
      <c r="AQ247" s="43">
        <f t="shared" si="532"/>
        <v>0</v>
      </c>
      <c r="AR247" s="43">
        <f t="shared" si="532"/>
        <v>0</v>
      </c>
      <c r="AS247" s="43"/>
      <c r="AT247" s="43"/>
      <c r="AU247" s="43">
        <f t="shared" si="623"/>
        <v>0</v>
      </c>
      <c r="AV247" s="43">
        <f t="shared" si="623"/>
        <v>0</v>
      </c>
      <c r="AW247" s="43"/>
      <c r="AX247" s="43"/>
      <c r="AY247" s="43">
        <f t="shared" si="520"/>
        <v>0</v>
      </c>
      <c r="AZ247" s="43">
        <f t="shared" si="520"/>
        <v>0</v>
      </c>
      <c r="BA247" s="43">
        <f t="shared" si="521"/>
        <v>0</v>
      </c>
      <c r="BB247" s="60">
        <v>0</v>
      </c>
      <c r="BC247" s="60"/>
      <c r="BD247" s="60">
        <f t="shared" si="522"/>
        <v>0</v>
      </c>
      <c r="BE247" s="60">
        <f t="shared" si="522"/>
        <v>0</v>
      </c>
      <c r="BF247" s="60">
        <f t="shared" si="523"/>
        <v>0</v>
      </c>
      <c r="BG247" s="60">
        <f t="shared" si="523"/>
        <v>0</v>
      </c>
      <c r="BH247" s="43">
        <v>0</v>
      </c>
      <c r="BI247" s="43">
        <v>0</v>
      </c>
      <c r="BJ247" s="43"/>
      <c r="BK247" s="43"/>
      <c r="BL247" s="43">
        <f t="shared" si="545"/>
        <v>0</v>
      </c>
      <c r="BM247" s="43">
        <f t="shared" si="545"/>
        <v>0</v>
      </c>
      <c r="BN247" s="43">
        <f t="shared" si="573"/>
        <v>0</v>
      </c>
      <c r="BO247" s="43">
        <v>0</v>
      </c>
      <c r="BP247" s="93"/>
      <c r="BQ247" s="43">
        <f t="shared" si="549"/>
        <v>0</v>
      </c>
      <c r="BR247" s="43">
        <f t="shared" si="549"/>
        <v>0</v>
      </c>
      <c r="BS247" s="43">
        <f t="shared" si="550"/>
        <v>0</v>
      </c>
      <c r="BT247" s="43">
        <f t="shared" si="550"/>
        <v>0</v>
      </c>
      <c r="BU247" s="43">
        <f t="shared" si="583"/>
        <v>0</v>
      </c>
      <c r="BV247" s="43">
        <v>0</v>
      </c>
      <c r="BW247" s="43"/>
      <c r="BX247" s="43"/>
      <c r="BY247" s="43"/>
      <c r="BZ247" s="43"/>
      <c r="CA247" s="43">
        <v>0</v>
      </c>
      <c r="CB247" s="43">
        <v>0</v>
      </c>
      <c r="CC247" s="92">
        <v>0</v>
      </c>
      <c r="CD247" s="92">
        <v>0</v>
      </c>
      <c r="CE247" s="92">
        <v>0</v>
      </c>
      <c r="CF247" s="92">
        <v>0</v>
      </c>
      <c r="CG247" s="92">
        <f t="shared" si="551"/>
        <v>0</v>
      </c>
      <c r="CH247" s="92">
        <f t="shared" si="551"/>
        <v>0</v>
      </c>
      <c r="CI247" s="43"/>
      <c r="CJ247" s="43"/>
      <c r="CK247" s="43">
        <v>0</v>
      </c>
      <c r="CL247" s="43">
        <v>0</v>
      </c>
      <c r="CM247" s="43"/>
      <c r="CN247" s="43"/>
      <c r="CO247" s="43"/>
      <c r="CP247" s="43"/>
      <c r="CQ247" s="43">
        <f t="shared" si="552"/>
        <v>0</v>
      </c>
      <c r="CR247" s="43">
        <f t="shared" si="552"/>
        <v>0</v>
      </c>
      <c r="CS247" s="43">
        <f t="shared" si="553"/>
        <v>0</v>
      </c>
      <c r="CT247" s="43">
        <f t="shared" si="553"/>
        <v>0</v>
      </c>
      <c r="CU247" s="43">
        <f t="shared" si="553"/>
        <v>0</v>
      </c>
      <c r="CV247" s="43">
        <f t="shared" si="553"/>
        <v>0</v>
      </c>
      <c r="CW247" s="43">
        <f t="shared" si="554"/>
        <v>0</v>
      </c>
      <c r="CX247" s="43">
        <f t="shared" si="554"/>
        <v>0</v>
      </c>
      <c r="CY247" s="43"/>
      <c r="CZ247" s="43"/>
      <c r="DA247" s="43">
        <f t="shared" si="555"/>
        <v>0</v>
      </c>
      <c r="DB247" s="43">
        <f t="shared" si="555"/>
        <v>0</v>
      </c>
      <c r="DC247" s="43">
        <v>0</v>
      </c>
      <c r="DD247" s="43">
        <v>0</v>
      </c>
      <c r="DE247" s="43">
        <f t="shared" si="556"/>
        <v>0</v>
      </c>
      <c r="DF247" s="43">
        <f t="shared" si="556"/>
        <v>0</v>
      </c>
      <c r="DG247" s="43">
        <f t="shared" si="690"/>
        <v>0</v>
      </c>
      <c r="DH247" s="43">
        <f t="shared" si="690"/>
        <v>0</v>
      </c>
      <c r="DI247" s="43">
        <f t="shared" si="691"/>
        <v>0</v>
      </c>
      <c r="DJ247" s="43">
        <f t="shared" si="691"/>
        <v>0</v>
      </c>
      <c r="DK247" s="43"/>
      <c r="DL247" s="43"/>
      <c r="DM247" s="43">
        <f t="shared" si="558"/>
        <v>0</v>
      </c>
      <c r="DN247" s="43">
        <f t="shared" si="558"/>
        <v>0</v>
      </c>
      <c r="DO247" s="104">
        <v>0</v>
      </c>
      <c r="DP247" s="95">
        <v>0</v>
      </c>
      <c r="DQ247" s="60">
        <f t="shared" si="559"/>
        <v>0</v>
      </c>
      <c r="DR247" s="60">
        <f t="shared" si="559"/>
        <v>0</v>
      </c>
      <c r="DS247" s="60">
        <f t="shared" si="560"/>
        <v>0</v>
      </c>
      <c r="DT247" s="60">
        <f t="shared" si="560"/>
        <v>0</v>
      </c>
      <c r="DU247" s="60">
        <f t="shared" si="561"/>
        <v>0</v>
      </c>
      <c r="DV247" s="60">
        <f t="shared" si="561"/>
        <v>0</v>
      </c>
      <c r="DW247" s="60"/>
      <c r="DX247" s="60"/>
      <c r="DY247" s="60">
        <f t="shared" si="569"/>
        <v>0</v>
      </c>
      <c r="DZ247" s="60">
        <f t="shared" si="569"/>
        <v>0</v>
      </c>
      <c r="EA247" s="60"/>
      <c r="EB247" s="60"/>
      <c r="EC247" s="43">
        <f t="shared" si="562"/>
        <v>0</v>
      </c>
      <c r="ED247" s="43">
        <f t="shared" si="562"/>
        <v>0</v>
      </c>
      <c r="EE247" s="43"/>
      <c r="EF247" s="43"/>
      <c r="EG247" s="43" t="e">
        <f t="shared" si="607"/>
        <v>#DIV/0!</v>
      </c>
      <c r="EH247" s="43" t="e">
        <f t="shared" si="607"/>
        <v>#DIV/0!</v>
      </c>
      <c r="EI247" s="43">
        <f t="shared" si="563"/>
        <v>0</v>
      </c>
      <c r="EJ247" s="43">
        <f t="shared" si="563"/>
        <v>0</v>
      </c>
      <c r="EK247" s="43">
        <f t="shared" si="564"/>
        <v>0</v>
      </c>
      <c r="EL247" s="43">
        <f t="shared" si="564"/>
        <v>0</v>
      </c>
      <c r="EM247" s="43">
        <f t="shared" si="565"/>
        <v>0</v>
      </c>
      <c r="EN247" s="43">
        <f t="shared" si="565"/>
        <v>0</v>
      </c>
      <c r="EO247" s="43">
        <v>0</v>
      </c>
      <c r="EP247" s="43">
        <v>0</v>
      </c>
      <c r="EQ247" s="5"/>
      <c r="ER247" s="5"/>
      <c r="ES247" s="5"/>
      <c r="ET247" s="5"/>
      <c r="EU247" s="5">
        <f t="shared" si="642"/>
        <v>0</v>
      </c>
      <c r="EV247" s="5">
        <f t="shared" si="642"/>
        <v>0</v>
      </c>
      <c r="EW247" s="5">
        <v>0</v>
      </c>
      <c r="EX247" s="5">
        <v>0</v>
      </c>
      <c r="EY247" s="5">
        <v>0</v>
      </c>
      <c r="EZ247" s="5">
        <v>0</v>
      </c>
    </row>
    <row r="248" spans="1:156" ht="18.75" x14ac:dyDescent="0.25">
      <c r="A248" s="68"/>
      <c r="B248" s="68" t="s">
        <v>511</v>
      </c>
      <c r="C248" s="91" t="s">
        <v>193</v>
      </c>
      <c r="D248" s="67" t="s">
        <v>504</v>
      </c>
      <c r="E248" s="69" t="s">
        <v>512</v>
      </c>
      <c r="F248" s="123">
        <v>5514.34</v>
      </c>
      <c r="G248" s="123">
        <v>2183.8200000000002</v>
      </c>
      <c r="H248" s="123">
        <v>5514.34</v>
      </c>
      <c r="I248" s="123">
        <v>2183.8200000000002</v>
      </c>
      <c r="J248" s="124">
        <f t="shared" ref="J248:AA248" si="693">+J241+J242+J243+J244+J245+J246+J247</f>
        <v>6343.63</v>
      </c>
      <c r="K248" s="124">
        <f t="shared" si="693"/>
        <v>0</v>
      </c>
      <c r="L248" s="124">
        <f t="shared" si="693"/>
        <v>0</v>
      </c>
      <c r="M248" s="124">
        <f t="shared" si="693"/>
        <v>6343.63</v>
      </c>
      <c r="N248" s="124">
        <f t="shared" si="693"/>
        <v>189.74</v>
      </c>
      <c r="O248" s="124">
        <f t="shared" si="693"/>
        <v>0</v>
      </c>
      <c r="P248" s="124">
        <f t="shared" si="693"/>
        <v>0</v>
      </c>
      <c r="Q248" s="124">
        <f t="shared" si="693"/>
        <v>189.74</v>
      </c>
      <c r="R248" s="124">
        <f t="shared" si="693"/>
        <v>6533.37</v>
      </c>
      <c r="S248" s="124">
        <f t="shared" si="693"/>
        <v>2500</v>
      </c>
      <c r="T248" s="124">
        <f t="shared" si="693"/>
        <v>0</v>
      </c>
      <c r="U248" s="124">
        <f t="shared" si="693"/>
        <v>0</v>
      </c>
      <c r="V248" s="124">
        <f t="shared" si="693"/>
        <v>5835.83</v>
      </c>
      <c r="W248" s="124">
        <f t="shared" si="693"/>
        <v>2255.23</v>
      </c>
      <c r="X248" s="124">
        <f t="shared" si="693"/>
        <v>697.54000000000008</v>
      </c>
      <c r="Y248" s="124">
        <f t="shared" si="693"/>
        <v>244.76999999999998</v>
      </c>
      <c r="Z248" s="124">
        <f t="shared" si="693"/>
        <v>5680.83</v>
      </c>
      <c r="AA248" s="124">
        <f t="shared" si="693"/>
        <v>155</v>
      </c>
      <c r="AB248" s="123">
        <f t="shared" si="547"/>
        <v>5835.83</v>
      </c>
      <c r="AC248" s="43">
        <f t="shared" si="548"/>
        <v>0</v>
      </c>
      <c r="AD248" s="123">
        <f t="shared" ref="AD248:CP248" si="694">+AD241+AD242+AD243+AD244+AD245+AD246+AD247</f>
        <v>5835.83</v>
      </c>
      <c r="AE248" s="123">
        <f t="shared" si="694"/>
        <v>2255.23</v>
      </c>
      <c r="AF248" s="123">
        <f t="shared" si="694"/>
        <v>2255.5</v>
      </c>
      <c r="AG248" s="123">
        <f t="shared" si="694"/>
        <v>1458</v>
      </c>
      <c r="AH248" s="123">
        <f t="shared" si="694"/>
        <v>564</v>
      </c>
      <c r="AI248" s="125">
        <f t="shared" si="694"/>
        <v>486</v>
      </c>
      <c r="AJ248" s="123">
        <f t="shared" si="694"/>
        <v>188</v>
      </c>
      <c r="AK248" s="123">
        <f t="shared" si="694"/>
        <v>0</v>
      </c>
      <c r="AL248" s="123">
        <f t="shared" si="694"/>
        <v>0</v>
      </c>
      <c r="AM248" s="123">
        <f t="shared" si="694"/>
        <v>1458.9600000000003</v>
      </c>
      <c r="AN248" s="123">
        <f t="shared" si="694"/>
        <v>549.15</v>
      </c>
      <c r="AO248" s="123">
        <f t="shared" si="694"/>
        <v>0</v>
      </c>
      <c r="AP248" s="123">
        <f t="shared" si="694"/>
        <v>0</v>
      </c>
      <c r="AQ248" s="123">
        <f t="shared" si="694"/>
        <v>2916.9599999999996</v>
      </c>
      <c r="AR248" s="123">
        <f t="shared" si="694"/>
        <v>1113.1500000000001</v>
      </c>
      <c r="AS248" s="123">
        <f t="shared" si="694"/>
        <v>0</v>
      </c>
      <c r="AT248" s="123">
        <f t="shared" si="694"/>
        <v>0</v>
      </c>
      <c r="AU248" s="123">
        <f t="shared" si="694"/>
        <v>1458.9600000000003</v>
      </c>
      <c r="AV248" s="123">
        <f t="shared" si="694"/>
        <v>563.80999999999995</v>
      </c>
      <c r="AW248" s="123">
        <f t="shared" si="694"/>
        <v>0</v>
      </c>
      <c r="AX248" s="123">
        <f t="shared" si="694"/>
        <v>506.5</v>
      </c>
      <c r="AY248" s="123">
        <f t="shared" si="694"/>
        <v>4861.92</v>
      </c>
      <c r="AZ248" s="123">
        <f t="shared" si="694"/>
        <v>2371.46</v>
      </c>
      <c r="BA248" s="123">
        <f t="shared" si="694"/>
        <v>7233.38</v>
      </c>
      <c r="BB248" s="123">
        <f t="shared" si="694"/>
        <v>4890.84</v>
      </c>
      <c r="BC248" s="123">
        <f t="shared" si="694"/>
        <v>2296.44</v>
      </c>
      <c r="BD248" s="123">
        <f t="shared" si="694"/>
        <v>-28.919999999999959</v>
      </c>
      <c r="BE248" s="123">
        <f t="shared" si="694"/>
        <v>75.019999999999982</v>
      </c>
      <c r="BF248" s="123">
        <f t="shared" si="694"/>
        <v>978.18000000000018</v>
      </c>
      <c r="BG248" s="125">
        <f t="shared" si="694"/>
        <v>459.29</v>
      </c>
      <c r="BH248" s="125">
        <f t="shared" si="694"/>
        <v>492.27</v>
      </c>
      <c r="BI248" s="125">
        <f t="shared" si="694"/>
        <v>150</v>
      </c>
      <c r="BJ248" s="125">
        <f t="shared" si="694"/>
        <v>0</v>
      </c>
      <c r="BK248" s="125">
        <f t="shared" si="694"/>
        <v>150</v>
      </c>
      <c r="BL248" s="125">
        <f t="shared" si="694"/>
        <v>5354.1900000000005</v>
      </c>
      <c r="BM248" s="125">
        <f t="shared" si="694"/>
        <v>2671.46</v>
      </c>
      <c r="BN248" s="125">
        <f t="shared" si="694"/>
        <v>8025.6500000000005</v>
      </c>
      <c r="BO248" s="125">
        <f t="shared" si="694"/>
        <v>5123.7299999999996</v>
      </c>
      <c r="BP248" s="125">
        <f t="shared" si="694"/>
        <v>2596.39</v>
      </c>
      <c r="BQ248" s="123">
        <f t="shared" si="694"/>
        <v>230.46000000000015</v>
      </c>
      <c r="BR248" s="123">
        <f t="shared" si="694"/>
        <v>75.070000000000164</v>
      </c>
      <c r="BS248" s="123">
        <f t="shared" si="694"/>
        <v>465.78999999999996</v>
      </c>
      <c r="BT248" s="123">
        <f t="shared" si="694"/>
        <v>236.04</v>
      </c>
      <c r="BU248" s="123">
        <f t="shared" si="694"/>
        <v>235.32999999999998</v>
      </c>
      <c r="BV248" s="123">
        <f t="shared" si="694"/>
        <v>200</v>
      </c>
      <c r="BW248" s="123">
        <f t="shared" si="694"/>
        <v>415.55</v>
      </c>
      <c r="BX248" s="123">
        <f t="shared" si="694"/>
        <v>69.66</v>
      </c>
      <c r="BY248" s="123">
        <f t="shared" si="694"/>
        <v>0</v>
      </c>
      <c r="BZ248" s="123">
        <f t="shared" si="694"/>
        <v>0</v>
      </c>
      <c r="CA248" s="123">
        <f t="shared" si="694"/>
        <v>6005.0700000000006</v>
      </c>
      <c r="CB248" s="123">
        <f t="shared" si="694"/>
        <v>2941.12</v>
      </c>
      <c r="CC248" s="123">
        <f t="shared" si="694"/>
        <v>6605.5899999999992</v>
      </c>
      <c r="CD248" s="123">
        <f t="shared" si="694"/>
        <v>3382.29</v>
      </c>
      <c r="CE248" s="123">
        <f t="shared" si="694"/>
        <v>551</v>
      </c>
      <c r="CF248" s="123">
        <f t="shared" si="694"/>
        <v>282</v>
      </c>
      <c r="CG248" s="123">
        <f t="shared" si="694"/>
        <v>1501.2600000000002</v>
      </c>
      <c r="CH248" s="125">
        <f t="shared" si="694"/>
        <v>735.28</v>
      </c>
      <c r="CI248" s="123">
        <f t="shared" si="694"/>
        <v>0</v>
      </c>
      <c r="CJ248" s="123">
        <f t="shared" si="694"/>
        <v>0</v>
      </c>
      <c r="CK248" s="123">
        <f t="shared" si="694"/>
        <v>1515</v>
      </c>
      <c r="CL248" s="123">
        <f t="shared" si="694"/>
        <v>550</v>
      </c>
      <c r="CM248" s="123">
        <f t="shared" si="694"/>
        <v>0</v>
      </c>
      <c r="CN248" s="123">
        <f t="shared" si="694"/>
        <v>0</v>
      </c>
      <c r="CO248" s="123">
        <f t="shared" si="694"/>
        <v>6516.1600000000008</v>
      </c>
      <c r="CP248" s="123">
        <f t="shared" si="694"/>
        <v>2800</v>
      </c>
      <c r="CQ248" s="123">
        <f t="shared" ref="CQ248:EZ248" si="695">+CQ241+CQ242+CQ243+CQ244+CQ245+CQ246+CQ247</f>
        <v>6060</v>
      </c>
      <c r="CR248" s="123">
        <f t="shared" si="695"/>
        <v>2200</v>
      </c>
      <c r="CS248" s="123">
        <f t="shared" si="695"/>
        <v>6001.2900000000009</v>
      </c>
      <c r="CT248" s="123">
        <f t="shared" si="695"/>
        <v>2200</v>
      </c>
      <c r="CU248" s="123">
        <f t="shared" si="695"/>
        <v>6236.2900000000009</v>
      </c>
      <c r="CV248" s="123">
        <f t="shared" si="695"/>
        <v>2800</v>
      </c>
      <c r="CW248" s="123">
        <f t="shared" si="695"/>
        <v>1559.08</v>
      </c>
      <c r="CX248" s="123">
        <f t="shared" si="695"/>
        <v>700</v>
      </c>
      <c r="CY248" s="123">
        <f t="shared" si="695"/>
        <v>25</v>
      </c>
      <c r="CZ248" s="123">
        <f t="shared" si="695"/>
        <v>40</v>
      </c>
      <c r="DA248" s="123">
        <f t="shared" si="695"/>
        <v>3650.08</v>
      </c>
      <c r="DB248" s="123">
        <f t="shared" si="695"/>
        <v>1572</v>
      </c>
      <c r="DC248" s="123">
        <f t="shared" si="695"/>
        <v>3638.53</v>
      </c>
      <c r="DD248" s="123">
        <f t="shared" si="695"/>
        <v>1560.96</v>
      </c>
      <c r="DE248" s="123">
        <f t="shared" si="695"/>
        <v>11.549999999999955</v>
      </c>
      <c r="DF248" s="123">
        <f t="shared" si="695"/>
        <v>11.039999999999964</v>
      </c>
      <c r="DG248" s="123">
        <f t="shared" si="695"/>
        <v>1559.08</v>
      </c>
      <c r="DH248" s="123">
        <f t="shared" si="695"/>
        <v>700</v>
      </c>
      <c r="DI248" s="123">
        <f t="shared" si="695"/>
        <v>1547.53</v>
      </c>
      <c r="DJ248" s="123">
        <f t="shared" si="695"/>
        <v>688.96</v>
      </c>
      <c r="DK248" s="123">
        <f t="shared" si="695"/>
        <v>55.05</v>
      </c>
      <c r="DL248" s="123">
        <f t="shared" si="695"/>
        <v>45</v>
      </c>
      <c r="DM248" s="123">
        <f t="shared" si="695"/>
        <v>5252.66</v>
      </c>
      <c r="DN248" s="123">
        <f t="shared" si="695"/>
        <v>2305.96</v>
      </c>
      <c r="DO248" s="123">
        <f t="shared" si="695"/>
        <v>5214.7800000000007</v>
      </c>
      <c r="DP248" s="123">
        <f t="shared" si="695"/>
        <v>2213.0100000000002</v>
      </c>
      <c r="DQ248" s="123">
        <f t="shared" si="695"/>
        <v>37.879999999999995</v>
      </c>
      <c r="DR248" s="123">
        <f t="shared" si="695"/>
        <v>92.95</v>
      </c>
      <c r="DS248" s="123">
        <f t="shared" si="695"/>
        <v>521.47799999999995</v>
      </c>
      <c r="DT248" s="123">
        <f t="shared" si="695"/>
        <v>221.30100000000002</v>
      </c>
      <c r="DU248" s="123">
        <f t="shared" si="695"/>
        <v>483.59799999999996</v>
      </c>
      <c r="DV248" s="123">
        <f t="shared" si="695"/>
        <v>128.351</v>
      </c>
      <c r="DW248" s="123">
        <f t="shared" si="695"/>
        <v>0</v>
      </c>
      <c r="DX248" s="123">
        <f t="shared" si="695"/>
        <v>14.04</v>
      </c>
      <c r="DY248" s="123">
        <f t="shared" si="695"/>
        <v>483.25</v>
      </c>
      <c r="DZ248" s="123">
        <f t="shared" si="695"/>
        <v>141.60999999999999</v>
      </c>
      <c r="EA248" s="123">
        <f t="shared" si="695"/>
        <v>12</v>
      </c>
      <c r="EB248" s="125">
        <f t="shared" si="695"/>
        <v>250</v>
      </c>
      <c r="EC248" s="123">
        <f t="shared" si="695"/>
        <v>5747.9100000000008</v>
      </c>
      <c r="ED248" s="123">
        <f t="shared" si="695"/>
        <v>2697.57</v>
      </c>
      <c r="EE248" s="123">
        <f t="shared" si="695"/>
        <v>5474.13</v>
      </c>
      <c r="EF248" s="123">
        <f t="shared" si="695"/>
        <v>2503.5100000000002</v>
      </c>
      <c r="EG248" s="123" t="e">
        <f t="shared" si="695"/>
        <v>#DIV/0!</v>
      </c>
      <c r="EH248" s="123" t="e">
        <f t="shared" si="695"/>
        <v>#DIV/0!</v>
      </c>
      <c r="EI248" s="123">
        <f t="shared" si="695"/>
        <v>273.77999999999997</v>
      </c>
      <c r="EJ248" s="123">
        <f t="shared" si="695"/>
        <v>194.06</v>
      </c>
      <c r="EK248" s="123">
        <f t="shared" si="695"/>
        <v>497.65000000000003</v>
      </c>
      <c r="EL248" s="123">
        <f t="shared" si="695"/>
        <v>227.59</v>
      </c>
      <c r="EM248" s="123">
        <f t="shared" si="695"/>
        <v>223.87</v>
      </c>
      <c r="EN248" s="123">
        <f t="shared" si="695"/>
        <v>33.53</v>
      </c>
      <c r="EO248" s="123">
        <f t="shared" si="695"/>
        <v>463</v>
      </c>
      <c r="EP248" s="123">
        <f t="shared" si="695"/>
        <v>180</v>
      </c>
      <c r="EQ248" s="138">
        <f t="shared" si="695"/>
        <v>0</v>
      </c>
      <c r="ER248" s="77">
        <f t="shared" si="695"/>
        <v>0</v>
      </c>
      <c r="ES248" s="77">
        <f t="shared" si="695"/>
        <v>0</v>
      </c>
      <c r="ET248" s="77">
        <f t="shared" si="695"/>
        <v>0</v>
      </c>
      <c r="EU248" s="5">
        <f t="shared" si="642"/>
        <v>323.49999999999909</v>
      </c>
      <c r="EV248" s="5">
        <f t="shared" si="642"/>
        <v>122.42999999999984</v>
      </c>
      <c r="EW248" s="77">
        <f t="shared" si="695"/>
        <v>6534.41</v>
      </c>
      <c r="EX248" s="77">
        <f t="shared" si="695"/>
        <v>3000</v>
      </c>
      <c r="EY248" s="77">
        <f t="shared" si="695"/>
        <v>6959.68</v>
      </c>
      <c r="EZ248" s="77">
        <f t="shared" si="695"/>
        <v>3600</v>
      </c>
    </row>
    <row r="249" spans="1:156" ht="18.75" x14ac:dyDescent="0.25">
      <c r="A249" s="37">
        <v>8</v>
      </c>
      <c r="B249" s="37"/>
      <c r="C249" s="91" t="s">
        <v>203</v>
      </c>
      <c r="D249" s="38" t="s">
        <v>513</v>
      </c>
      <c r="E249" s="39"/>
      <c r="F249" s="40">
        <v>1185.83</v>
      </c>
      <c r="G249" s="40">
        <v>111.77000000000002</v>
      </c>
      <c r="H249" s="40">
        <v>1185.83</v>
      </c>
      <c r="I249" s="40">
        <v>87.000000000000014</v>
      </c>
      <c r="J249" s="41">
        <v>1238</v>
      </c>
      <c r="K249" s="41"/>
      <c r="L249" s="41"/>
      <c r="M249" s="41">
        <f t="shared" si="684"/>
        <v>1238</v>
      </c>
      <c r="N249" s="41">
        <v>0</v>
      </c>
      <c r="O249" s="41"/>
      <c r="P249" s="41"/>
      <c r="Q249" s="41">
        <f t="shared" ref="Q249:Q252" si="696">N249+O249+P249</f>
        <v>0</v>
      </c>
      <c r="R249" s="41">
        <f t="shared" si="686"/>
        <v>1238</v>
      </c>
      <c r="S249" s="41">
        <v>15</v>
      </c>
      <c r="T249" s="92"/>
      <c r="U249" s="92"/>
      <c r="V249" s="40">
        <f t="shared" ref="V249:V252" si="697">ROUND(H249*1.0583,2)</f>
        <v>1254.96</v>
      </c>
      <c r="W249" s="40">
        <f t="shared" ref="W249:W252" si="698">ROUND(I249*1.0327,2)</f>
        <v>89.84</v>
      </c>
      <c r="X249" s="43">
        <f t="shared" si="529"/>
        <v>-16.960000000000036</v>
      </c>
      <c r="Y249" s="43">
        <f t="shared" si="529"/>
        <v>-74.84</v>
      </c>
      <c r="Z249" s="43">
        <v>1238</v>
      </c>
      <c r="AA249" s="43"/>
      <c r="AB249" s="43">
        <f t="shared" si="547"/>
        <v>1238</v>
      </c>
      <c r="AC249" s="43">
        <f t="shared" si="548"/>
        <v>0</v>
      </c>
      <c r="AD249" s="43">
        <f t="shared" ref="AD249:AE252" si="699">IF(X249&gt;0,V249,R249)</f>
        <v>1238</v>
      </c>
      <c r="AE249" s="43">
        <f>IF(Y249&gt;0,W249,S249)-10</f>
        <v>5</v>
      </c>
      <c r="AF249" s="43">
        <f t="shared" si="570"/>
        <v>13.53</v>
      </c>
      <c r="AG249" s="43">
        <f t="shared" si="530"/>
        <v>310</v>
      </c>
      <c r="AH249" s="43">
        <v>4</v>
      </c>
      <c r="AI249" s="93">
        <f t="shared" si="531"/>
        <v>103</v>
      </c>
      <c r="AJ249" s="43">
        <v>1</v>
      </c>
      <c r="AK249" s="43"/>
      <c r="AL249" s="43"/>
      <c r="AM249" s="43">
        <f t="shared" si="571"/>
        <v>309.5</v>
      </c>
      <c r="AN249" s="43">
        <f>ROUND(AE249*24.35%,2)-1.22</f>
        <v>0</v>
      </c>
      <c r="AO249" s="43"/>
      <c r="AP249" s="43"/>
      <c r="AQ249" s="43">
        <f t="shared" si="532"/>
        <v>619.5</v>
      </c>
      <c r="AR249" s="43">
        <f t="shared" si="532"/>
        <v>4</v>
      </c>
      <c r="AS249" s="43"/>
      <c r="AT249" s="43"/>
      <c r="AU249" s="43">
        <f t="shared" si="623"/>
        <v>309.5</v>
      </c>
      <c r="AV249" s="43">
        <f>ROUND(AE249*25%,2)-1.25</f>
        <v>0</v>
      </c>
      <c r="AW249" s="43"/>
      <c r="AX249" s="43"/>
      <c r="AY249" s="43">
        <f t="shared" si="520"/>
        <v>1032</v>
      </c>
      <c r="AZ249" s="43">
        <f t="shared" si="520"/>
        <v>5</v>
      </c>
      <c r="BA249" s="43">
        <f t="shared" si="521"/>
        <v>1037</v>
      </c>
      <c r="BB249" s="60">
        <v>957.45</v>
      </c>
      <c r="BC249" s="60">
        <v>3.71</v>
      </c>
      <c r="BD249" s="60">
        <f t="shared" si="522"/>
        <v>74.549999999999955</v>
      </c>
      <c r="BE249" s="60">
        <f t="shared" si="522"/>
        <v>1.29</v>
      </c>
      <c r="BF249" s="60">
        <f t="shared" si="523"/>
        <v>191.49</v>
      </c>
      <c r="BG249" s="60">
        <f t="shared" si="523"/>
        <v>0.74</v>
      </c>
      <c r="BH249" s="43">
        <v>58.47</v>
      </c>
      <c r="BI249" s="43">
        <v>0</v>
      </c>
      <c r="BJ249" s="43"/>
      <c r="BK249" s="43"/>
      <c r="BL249" s="43">
        <f t="shared" si="545"/>
        <v>1090.47</v>
      </c>
      <c r="BM249" s="43">
        <f t="shared" si="545"/>
        <v>5</v>
      </c>
      <c r="BN249" s="43">
        <f t="shared" si="573"/>
        <v>1095.47</v>
      </c>
      <c r="BO249" s="43">
        <v>1060.1500000000001</v>
      </c>
      <c r="BP249" s="93">
        <v>3.74</v>
      </c>
      <c r="BQ249" s="43">
        <f t="shared" si="549"/>
        <v>30.319999999999936</v>
      </c>
      <c r="BR249" s="43">
        <f t="shared" si="549"/>
        <v>1.2599999999999998</v>
      </c>
      <c r="BS249" s="43">
        <f t="shared" si="550"/>
        <v>96.38</v>
      </c>
      <c r="BT249" s="43">
        <f t="shared" si="550"/>
        <v>0.34</v>
      </c>
      <c r="BU249" s="43">
        <v>66.06</v>
      </c>
      <c r="BV249" s="43">
        <v>0</v>
      </c>
      <c r="BW249" s="43">
        <v>6</v>
      </c>
      <c r="BX249" s="43">
        <v>0.74</v>
      </c>
      <c r="BY249" s="43"/>
      <c r="BZ249" s="43"/>
      <c r="CA249" s="43">
        <v>1162.53</v>
      </c>
      <c r="CB249" s="43">
        <v>5.74</v>
      </c>
      <c r="CC249" s="92">
        <v>1278.78</v>
      </c>
      <c r="CD249" s="92">
        <v>6.6</v>
      </c>
      <c r="CE249" s="92">
        <v>107</v>
      </c>
      <c r="CF249" s="92">
        <v>1</v>
      </c>
      <c r="CG249" s="92">
        <f t="shared" si="551"/>
        <v>290.63</v>
      </c>
      <c r="CH249" s="92">
        <f t="shared" si="551"/>
        <v>1.44</v>
      </c>
      <c r="CI249" s="43"/>
      <c r="CJ249" s="43"/>
      <c r="CK249" s="43">
        <v>340</v>
      </c>
      <c r="CL249" s="43">
        <v>1</v>
      </c>
      <c r="CM249" s="43"/>
      <c r="CN249" s="43"/>
      <c r="CO249" s="43">
        <v>1400</v>
      </c>
      <c r="CP249" s="43">
        <v>3</v>
      </c>
      <c r="CQ249" s="43">
        <f t="shared" si="552"/>
        <v>1360</v>
      </c>
      <c r="CR249" s="43">
        <f t="shared" si="552"/>
        <v>4</v>
      </c>
      <c r="CS249" s="43">
        <f t="shared" si="553"/>
        <v>1360</v>
      </c>
      <c r="CT249" s="43">
        <f t="shared" si="553"/>
        <v>3</v>
      </c>
      <c r="CU249" s="43">
        <f t="shared" si="553"/>
        <v>1360</v>
      </c>
      <c r="CV249" s="43">
        <f>IF(CR249&lt;CT249,CR249,CT249)+64.5</f>
        <v>67.5</v>
      </c>
      <c r="CW249" s="43">
        <f>ROUND(CU249*25%,2)+100</f>
        <v>440</v>
      </c>
      <c r="CX249" s="43">
        <v>65.5</v>
      </c>
      <c r="CY249" s="43"/>
      <c r="CZ249" s="43"/>
      <c r="DA249" s="43">
        <f t="shared" si="555"/>
        <v>887</v>
      </c>
      <c r="DB249" s="43">
        <f t="shared" si="555"/>
        <v>67.5</v>
      </c>
      <c r="DC249" s="43">
        <v>721.71</v>
      </c>
      <c r="DD249" s="43">
        <v>0.63</v>
      </c>
      <c r="DE249" s="43">
        <f t="shared" si="556"/>
        <v>165.28999999999996</v>
      </c>
      <c r="DF249" s="43">
        <f t="shared" si="556"/>
        <v>66.87</v>
      </c>
      <c r="DG249" s="43">
        <f t="shared" ref="DG249:DH252" si="700">ROUND(0.25*(MIN(CU249,EW249)),2)</f>
        <v>317.35000000000002</v>
      </c>
      <c r="DH249" s="43">
        <f t="shared" si="700"/>
        <v>16.88</v>
      </c>
      <c r="DI249" s="43">
        <f>+DG249-DE249+47.92</f>
        <v>199.98000000000008</v>
      </c>
      <c r="DJ249" s="43">
        <f>+DH249-DF249+49.99</f>
        <v>0</v>
      </c>
      <c r="DK249" s="43"/>
      <c r="DL249" s="43"/>
      <c r="DM249" s="43">
        <f t="shared" si="558"/>
        <v>1086.98</v>
      </c>
      <c r="DN249" s="43">
        <f t="shared" si="558"/>
        <v>67.5</v>
      </c>
      <c r="DO249" s="94">
        <v>1041.5</v>
      </c>
      <c r="DP249" s="95">
        <v>66.13</v>
      </c>
      <c r="DQ249" s="60">
        <f t="shared" si="559"/>
        <v>45.48</v>
      </c>
      <c r="DR249" s="60">
        <f t="shared" si="559"/>
        <v>1.37</v>
      </c>
      <c r="DS249" s="60">
        <f t="shared" si="560"/>
        <v>104.15</v>
      </c>
      <c r="DT249" s="60">
        <f t="shared" si="560"/>
        <v>6.6129999999999995</v>
      </c>
      <c r="DU249" s="60">
        <f t="shared" si="561"/>
        <v>58.670000000000009</v>
      </c>
      <c r="DV249" s="60">
        <f t="shared" si="561"/>
        <v>5.2429999999999994</v>
      </c>
      <c r="DW249" s="60"/>
      <c r="DX249" s="60"/>
      <c r="DY249" s="60">
        <v>110</v>
      </c>
      <c r="DZ249" s="60">
        <v>36</v>
      </c>
      <c r="EA249" s="60"/>
      <c r="EB249" s="60"/>
      <c r="EC249" s="43">
        <f t="shared" si="562"/>
        <v>1196.98</v>
      </c>
      <c r="ED249" s="43">
        <f t="shared" si="562"/>
        <v>103.5</v>
      </c>
      <c r="EE249" s="43">
        <v>1141.1099999999999</v>
      </c>
      <c r="EF249" s="43">
        <v>103.48</v>
      </c>
      <c r="EG249" s="43">
        <f t="shared" si="607"/>
        <v>95.33</v>
      </c>
      <c r="EH249" s="43">
        <f t="shared" si="607"/>
        <v>99.98</v>
      </c>
      <c r="EI249" s="43">
        <f t="shared" si="563"/>
        <v>55.87</v>
      </c>
      <c r="EJ249" s="43">
        <f t="shared" si="563"/>
        <v>0.02</v>
      </c>
      <c r="EK249" s="43">
        <f t="shared" si="564"/>
        <v>103.74</v>
      </c>
      <c r="EL249" s="43">
        <f t="shared" si="564"/>
        <v>9.41</v>
      </c>
      <c r="EM249" s="43">
        <f t="shared" si="565"/>
        <v>47.87</v>
      </c>
      <c r="EN249" s="43">
        <f t="shared" si="565"/>
        <v>9.39</v>
      </c>
      <c r="EO249" s="43">
        <v>50</v>
      </c>
      <c r="EP249" s="43">
        <v>1.25</v>
      </c>
      <c r="EQ249" s="5"/>
      <c r="ER249" s="5"/>
      <c r="ES249" s="48">
        <v>175</v>
      </c>
      <c r="ET249" s="48">
        <v>36.1</v>
      </c>
      <c r="EU249" s="5">
        <f t="shared" si="642"/>
        <v>22.420000000000073</v>
      </c>
      <c r="EV249" s="5">
        <f t="shared" si="642"/>
        <v>5.25</v>
      </c>
      <c r="EW249" s="5">
        <v>1269.4000000000001</v>
      </c>
      <c r="EX249" s="5">
        <v>110</v>
      </c>
      <c r="EY249" s="5">
        <v>1386</v>
      </c>
      <c r="EZ249" s="5">
        <v>41</v>
      </c>
    </row>
    <row r="250" spans="1:156" ht="18.75" x14ac:dyDescent="0.25">
      <c r="A250" s="37">
        <v>9</v>
      </c>
      <c r="B250" s="37"/>
      <c r="C250" s="91" t="s">
        <v>203</v>
      </c>
      <c r="D250" s="38" t="s">
        <v>514</v>
      </c>
      <c r="E250" s="39"/>
      <c r="F250" s="40">
        <v>289.71999999999997</v>
      </c>
      <c r="G250" s="40">
        <v>0</v>
      </c>
      <c r="H250" s="40">
        <v>238.7</v>
      </c>
      <c r="I250" s="40">
        <v>0</v>
      </c>
      <c r="J250" s="41">
        <v>230</v>
      </c>
      <c r="K250" s="41"/>
      <c r="L250" s="41"/>
      <c r="M250" s="41">
        <f t="shared" si="684"/>
        <v>230</v>
      </c>
      <c r="N250" s="41">
        <v>7.7</v>
      </c>
      <c r="O250" s="41"/>
      <c r="P250" s="41"/>
      <c r="Q250" s="41">
        <f t="shared" si="696"/>
        <v>7.7</v>
      </c>
      <c r="R250" s="41">
        <f t="shared" si="686"/>
        <v>237.7</v>
      </c>
      <c r="S250" s="41"/>
      <c r="T250" s="92"/>
      <c r="U250" s="92"/>
      <c r="V250" s="40">
        <f t="shared" si="697"/>
        <v>252.62</v>
      </c>
      <c r="W250" s="40">
        <f t="shared" si="698"/>
        <v>0</v>
      </c>
      <c r="X250" s="43">
        <f t="shared" si="529"/>
        <v>-14.920000000000016</v>
      </c>
      <c r="Y250" s="43">
        <f t="shared" si="529"/>
        <v>0</v>
      </c>
      <c r="Z250" s="43">
        <v>230</v>
      </c>
      <c r="AA250" s="43">
        <v>7.7</v>
      </c>
      <c r="AB250" s="43">
        <f t="shared" si="547"/>
        <v>237.7</v>
      </c>
      <c r="AC250" s="43">
        <f t="shared" si="548"/>
        <v>0</v>
      </c>
      <c r="AD250" s="43">
        <f t="shared" si="699"/>
        <v>237.7</v>
      </c>
      <c r="AE250" s="43">
        <f t="shared" si="699"/>
        <v>0</v>
      </c>
      <c r="AF250" s="43">
        <f t="shared" si="570"/>
        <v>0</v>
      </c>
      <c r="AG250" s="43">
        <f t="shared" si="530"/>
        <v>59</v>
      </c>
      <c r="AH250" s="43">
        <f t="shared" si="530"/>
        <v>0</v>
      </c>
      <c r="AI250" s="93">
        <f t="shared" si="531"/>
        <v>20</v>
      </c>
      <c r="AJ250" s="43">
        <f t="shared" si="531"/>
        <v>0</v>
      </c>
      <c r="AK250" s="43"/>
      <c r="AL250" s="43"/>
      <c r="AM250" s="43">
        <f t="shared" si="571"/>
        <v>59.43</v>
      </c>
      <c r="AN250" s="43">
        <f t="shared" si="572"/>
        <v>0</v>
      </c>
      <c r="AO250" s="43"/>
      <c r="AP250" s="43"/>
      <c r="AQ250" s="43">
        <f t="shared" si="532"/>
        <v>118.43</v>
      </c>
      <c r="AR250" s="43">
        <f t="shared" si="532"/>
        <v>0</v>
      </c>
      <c r="AS250" s="43"/>
      <c r="AT250" s="43"/>
      <c r="AU250" s="43">
        <f t="shared" si="623"/>
        <v>59.43</v>
      </c>
      <c r="AV250" s="43">
        <f t="shared" si="623"/>
        <v>0</v>
      </c>
      <c r="AW250" s="43"/>
      <c r="AX250" s="43"/>
      <c r="AY250" s="43">
        <f t="shared" si="520"/>
        <v>197.86</v>
      </c>
      <c r="AZ250" s="43">
        <f t="shared" si="520"/>
        <v>0</v>
      </c>
      <c r="BA250" s="43">
        <f t="shared" si="521"/>
        <v>197.86</v>
      </c>
      <c r="BB250" s="60">
        <v>197.86</v>
      </c>
      <c r="BC250" s="60"/>
      <c r="BD250" s="60">
        <f t="shared" si="522"/>
        <v>0</v>
      </c>
      <c r="BE250" s="60">
        <f t="shared" si="522"/>
        <v>0</v>
      </c>
      <c r="BF250" s="60">
        <f t="shared" si="523"/>
        <v>39.57</v>
      </c>
      <c r="BG250" s="60">
        <f t="shared" si="523"/>
        <v>0</v>
      </c>
      <c r="BH250" s="43">
        <v>19.79</v>
      </c>
      <c r="BI250" s="43">
        <v>0</v>
      </c>
      <c r="BJ250" s="43"/>
      <c r="BK250" s="43"/>
      <c r="BL250" s="43">
        <f t="shared" si="545"/>
        <v>217.65</v>
      </c>
      <c r="BM250" s="43">
        <f t="shared" si="545"/>
        <v>0</v>
      </c>
      <c r="BN250" s="43">
        <f t="shared" si="573"/>
        <v>217.65</v>
      </c>
      <c r="BO250" s="43">
        <v>197.86</v>
      </c>
      <c r="BP250" s="93"/>
      <c r="BQ250" s="43">
        <f t="shared" si="549"/>
        <v>19.789999999999992</v>
      </c>
      <c r="BR250" s="43">
        <f t="shared" si="549"/>
        <v>0</v>
      </c>
      <c r="BS250" s="43">
        <f t="shared" si="550"/>
        <v>17.989999999999998</v>
      </c>
      <c r="BT250" s="43">
        <f t="shared" si="550"/>
        <v>0</v>
      </c>
      <c r="BU250" s="43">
        <v>-1.8</v>
      </c>
      <c r="BV250" s="43">
        <v>0</v>
      </c>
      <c r="BW250" s="43">
        <v>41.05</v>
      </c>
      <c r="BX250" s="43"/>
      <c r="BY250" s="43"/>
      <c r="BZ250" s="43"/>
      <c r="CA250" s="43">
        <v>256.89999999999998</v>
      </c>
      <c r="CB250" s="43">
        <v>0</v>
      </c>
      <c r="CC250" s="92">
        <v>282.58999999999997</v>
      </c>
      <c r="CD250" s="92">
        <v>0</v>
      </c>
      <c r="CE250" s="92">
        <v>24</v>
      </c>
      <c r="CF250" s="92">
        <v>0</v>
      </c>
      <c r="CG250" s="92">
        <f t="shared" si="551"/>
        <v>64.23</v>
      </c>
      <c r="CH250" s="92">
        <f t="shared" si="551"/>
        <v>0</v>
      </c>
      <c r="CI250" s="43"/>
      <c r="CJ250" s="43"/>
      <c r="CK250" s="43">
        <f>75</f>
        <v>75</v>
      </c>
      <c r="CL250" s="43">
        <v>0</v>
      </c>
      <c r="CM250" s="43"/>
      <c r="CN250" s="43"/>
      <c r="CO250" s="43">
        <v>302.39999999999998</v>
      </c>
      <c r="CP250" s="43"/>
      <c r="CQ250" s="43">
        <f t="shared" si="552"/>
        <v>300</v>
      </c>
      <c r="CR250" s="43">
        <f t="shared" si="552"/>
        <v>0</v>
      </c>
      <c r="CS250" s="43">
        <f t="shared" si="553"/>
        <v>300</v>
      </c>
      <c r="CT250" s="43">
        <f t="shared" si="553"/>
        <v>0</v>
      </c>
      <c r="CU250" s="43">
        <f t="shared" si="553"/>
        <v>300</v>
      </c>
      <c r="CV250" s="43">
        <f t="shared" si="553"/>
        <v>0</v>
      </c>
      <c r="CW250" s="43">
        <f t="shared" si="554"/>
        <v>75</v>
      </c>
      <c r="CX250" s="43">
        <f t="shared" si="554"/>
        <v>0</v>
      </c>
      <c r="CY250" s="43"/>
      <c r="CZ250" s="43"/>
      <c r="DA250" s="43">
        <f t="shared" si="555"/>
        <v>174</v>
      </c>
      <c r="DB250" s="43">
        <f t="shared" si="555"/>
        <v>0</v>
      </c>
      <c r="DC250" s="43">
        <v>174</v>
      </c>
      <c r="DD250" s="43">
        <v>0</v>
      </c>
      <c r="DE250" s="43">
        <f t="shared" si="556"/>
        <v>0</v>
      </c>
      <c r="DF250" s="43">
        <f t="shared" si="556"/>
        <v>0</v>
      </c>
      <c r="DG250" s="43">
        <f t="shared" si="700"/>
        <v>75</v>
      </c>
      <c r="DH250" s="43">
        <f t="shared" si="700"/>
        <v>0</v>
      </c>
      <c r="DI250" s="43">
        <f>+DG250-DE250</f>
        <v>75</v>
      </c>
      <c r="DJ250" s="43">
        <f>+DH250-DF250</f>
        <v>0</v>
      </c>
      <c r="DK250" s="43"/>
      <c r="DL250" s="43"/>
      <c r="DM250" s="43">
        <f t="shared" si="558"/>
        <v>249</v>
      </c>
      <c r="DN250" s="43">
        <f t="shared" si="558"/>
        <v>0</v>
      </c>
      <c r="DO250" s="94">
        <f>246+3</f>
        <v>249</v>
      </c>
      <c r="DP250" s="94">
        <v>0</v>
      </c>
      <c r="DQ250" s="60">
        <f t="shared" si="559"/>
        <v>0</v>
      </c>
      <c r="DR250" s="60">
        <f t="shared" si="559"/>
        <v>0</v>
      </c>
      <c r="DS250" s="60">
        <f t="shared" si="560"/>
        <v>24.9</v>
      </c>
      <c r="DT250" s="60">
        <f t="shared" si="560"/>
        <v>0</v>
      </c>
      <c r="DU250" s="60">
        <f t="shared" si="561"/>
        <v>24.9</v>
      </c>
      <c r="DV250" s="60">
        <f t="shared" si="561"/>
        <v>0</v>
      </c>
      <c r="DW250" s="60"/>
      <c r="DX250" s="60"/>
      <c r="DY250" s="60">
        <v>25</v>
      </c>
      <c r="DZ250" s="60">
        <f t="shared" si="569"/>
        <v>0</v>
      </c>
      <c r="EA250" s="60"/>
      <c r="EB250" s="60"/>
      <c r="EC250" s="43">
        <f t="shared" si="562"/>
        <v>274</v>
      </c>
      <c r="ED250" s="43">
        <f t="shared" si="562"/>
        <v>0</v>
      </c>
      <c r="EE250" s="43">
        <v>249</v>
      </c>
      <c r="EF250" s="43">
        <v>0</v>
      </c>
      <c r="EG250" s="43">
        <f t="shared" si="607"/>
        <v>90.88</v>
      </c>
      <c r="EH250" s="43" t="e">
        <f t="shared" si="607"/>
        <v>#DIV/0!</v>
      </c>
      <c r="EI250" s="43">
        <f t="shared" si="563"/>
        <v>25</v>
      </c>
      <c r="EJ250" s="43">
        <f t="shared" si="563"/>
        <v>0</v>
      </c>
      <c r="EK250" s="43">
        <f t="shared" si="564"/>
        <v>22.64</v>
      </c>
      <c r="EL250" s="43">
        <f t="shared" si="564"/>
        <v>0</v>
      </c>
      <c r="EM250" s="43">
        <f t="shared" si="565"/>
        <v>-2.3599999999999994</v>
      </c>
      <c r="EN250" s="43">
        <f t="shared" si="565"/>
        <v>0</v>
      </c>
      <c r="EO250" s="43">
        <v>15</v>
      </c>
      <c r="EP250" s="43">
        <v>0</v>
      </c>
      <c r="EQ250" s="5"/>
      <c r="ER250" s="5"/>
      <c r="ES250" s="48">
        <v>40</v>
      </c>
      <c r="ET250" s="48"/>
      <c r="EU250" s="5">
        <f t="shared" si="642"/>
        <v>11</v>
      </c>
      <c r="EV250" s="5">
        <f t="shared" si="642"/>
        <v>0</v>
      </c>
      <c r="EW250" s="55">
        <f>9+291</f>
        <v>300</v>
      </c>
      <c r="EX250" s="5">
        <v>0</v>
      </c>
      <c r="EY250" s="5">
        <f>334.38+13.38</f>
        <v>347.76</v>
      </c>
      <c r="EZ250" s="5">
        <v>0</v>
      </c>
    </row>
    <row r="251" spans="1:156" ht="18.75" x14ac:dyDescent="0.25">
      <c r="A251" s="37">
        <v>10</v>
      </c>
      <c r="B251" s="37"/>
      <c r="C251" s="91" t="s">
        <v>203</v>
      </c>
      <c r="D251" s="38" t="s">
        <v>515</v>
      </c>
      <c r="E251" s="39"/>
      <c r="F251" s="40">
        <v>1622.13</v>
      </c>
      <c r="G251" s="40">
        <v>0</v>
      </c>
      <c r="H251" s="40">
        <v>1697.92</v>
      </c>
      <c r="I251" s="40">
        <v>0</v>
      </c>
      <c r="J251" s="41">
        <v>1993</v>
      </c>
      <c r="K251" s="41"/>
      <c r="L251" s="41"/>
      <c r="M251" s="41">
        <f t="shared" si="684"/>
        <v>1993</v>
      </c>
      <c r="N251" s="41">
        <v>82</v>
      </c>
      <c r="O251" s="41"/>
      <c r="P251" s="41"/>
      <c r="Q251" s="41">
        <f t="shared" si="696"/>
        <v>82</v>
      </c>
      <c r="R251" s="41">
        <f t="shared" si="686"/>
        <v>2075</v>
      </c>
      <c r="S251" s="41"/>
      <c r="T251" s="92"/>
      <c r="U251" s="92"/>
      <c r="V251" s="40">
        <f t="shared" si="697"/>
        <v>1796.91</v>
      </c>
      <c r="W251" s="40">
        <f t="shared" si="698"/>
        <v>0</v>
      </c>
      <c r="X251" s="43">
        <f t="shared" si="529"/>
        <v>278.08999999999992</v>
      </c>
      <c r="Y251" s="43">
        <f t="shared" si="529"/>
        <v>0</v>
      </c>
      <c r="Z251" s="43">
        <v>1736.91</v>
      </c>
      <c r="AA251" s="43">
        <v>60</v>
      </c>
      <c r="AB251" s="43">
        <f t="shared" si="547"/>
        <v>1796.91</v>
      </c>
      <c r="AC251" s="43">
        <f t="shared" si="548"/>
        <v>0</v>
      </c>
      <c r="AD251" s="43">
        <f t="shared" si="699"/>
        <v>1796.91</v>
      </c>
      <c r="AE251" s="43">
        <f t="shared" si="699"/>
        <v>0</v>
      </c>
      <c r="AF251" s="43">
        <f t="shared" si="570"/>
        <v>0</v>
      </c>
      <c r="AG251" s="43">
        <f t="shared" si="530"/>
        <v>449</v>
      </c>
      <c r="AH251" s="43">
        <f t="shared" si="530"/>
        <v>0</v>
      </c>
      <c r="AI251" s="93">
        <f t="shared" si="531"/>
        <v>150</v>
      </c>
      <c r="AJ251" s="43">
        <f t="shared" si="531"/>
        <v>0</v>
      </c>
      <c r="AK251" s="43"/>
      <c r="AL251" s="43"/>
      <c r="AM251" s="43">
        <f t="shared" si="571"/>
        <v>449.23</v>
      </c>
      <c r="AN251" s="43">
        <f t="shared" si="572"/>
        <v>0</v>
      </c>
      <c r="AO251" s="43"/>
      <c r="AP251" s="43"/>
      <c r="AQ251" s="43">
        <f t="shared" si="532"/>
        <v>898.23</v>
      </c>
      <c r="AR251" s="43">
        <f t="shared" si="532"/>
        <v>0</v>
      </c>
      <c r="AS251" s="43"/>
      <c r="AT251" s="43"/>
      <c r="AU251" s="43">
        <f t="shared" si="623"/>
        <v>449.23</v>
      </c>
      <c r="AV251" s="43">
        <f t="shared" si="623"/>
        <v>0</v>
      </c>
      <c r="AW251" s="43"/>
      <c r="AX251" s="43"/>
      <c r="AY251" s="43">
        <f t="shared" si="520"/>
        <v>1497.46</v>
      </c>
      <c r="AZ251" s="43">
        <f t="shared" si="520"/>
        <v>0</v>
      </c>
      <c r="BA251" s="43">
        <f t="shared" si="521"/>
        <v>1497.46</v>
      </c>
      <c r="BB251" s="60">
        <v>1497.46</v>
      </c>
      <c r="BC251" s="60"/>
      <c r="BD251" s="60">
        <f t="shared" si="522"/>
        <v>0</v>
      </c>
      <c r="BE251" s="60">
        <f t="shared" si="522"/>
        <v>0</v>
      </c>
      <c r="BF251" s="60">
        <f t="shared" si="523"/>
        <v>299.49</v>
      </c>
      <c r="BG251" s="60">
        <f t="shared" si="523"/>
        <v>0</v>
      </c>
      <c r="BH251" s="43">
        <v>149.72999999999999</v>
      </c>
      <c r="BI251" s="43">
        <v>0</v>
      </c>
      <c r="BJ251" s="43"/>
      <c r="BK251" s="43"/>
      <c r="BL251" s="43">
        <f t="shared" si="545"/>
        <v>1647.19</v>
      </c>
      <c r="BM251" s="43">
        <f t="shared" si="545"/>
        <v>0</v>
      </c>
      <c r="BN251" s="43">
        <f t="shared" si="573"/>
        <v>1647.19</v>
      </c>
      <c r="BO251" s="43">
        <v>1647.19</v>
      </c>
      <c r="BP251" s="93"/>
      <c r="BQ251" s="43">
        <f t="shared" si="549"/>
        <v>0</v>
      </c>
      <c r="BR251" s="43">
        <f t="shared" si="549"/>
        <v>0</v>
      </c>
      <c r="BS251" s="43">
        <f t="shared" si="550"/>
        <v>149.74</v>
      </c>
      <c r="BT251" s="43">
        <f t="shared" si="550"/>
        <v>0</v>
      </c>
      <c r="BU251" s="43">
        <f>BS251-BQ251+100</f>
        <v>249.74</v>
      </c>
      <c r="BV251" s="43">
        <v>0</v>
      </c>
      <c r="BW251" s="43">
        <v>128.27000000000001</v>
      </c>
      <c r="BX251" s="43"/>
      <c r="BY251" s="43"/>
      <c r="BZ251" s="43"/>
      <c r="CA251" s="43">
        <v>2025.2</v>
      </c>
      <c r="CB251" s="43">
        <v>0</v>
      </c>
      <c r="CC251" s="92">
        <v>2227.7199999999998</v>
      </c>
      <c r="CD251" s="92">
        <v>0</v>
      </c>
      <c r="CE251" s="92">
        <v>186</v>
      </c>
      <c r="CF251" s="92">
        <v>0</v>
      </c>
      <c r="CG251" s="92">
        <f t="shared" si="551"/>
        <v>506.3</v>
      </c>
      <c r="CH251" s="92">
        <f t="shared" si="551"/>
        <v>0</v>
      </c>
      <c r="CI251" s="43"/>
      <c r="CJ251" s="43"/>
      <c r="CK251" s="72">
        <f>582.25-30</f>
        <v>552.25</v>
      </c>
      <c r="CL251" s="43">
        <v>0</v>
      </c>
      <c r="CM251" s="43"/>
      <c r="CN251" s="43"/>
      <c r="CO251" s="43">
        <v>3338.2400000000002</v>
      </c>
      <c r="CP251" s="43"/>
      <c r="CQ251" s="43">
        <f t="shared" si="552"/>
        <v>2209</v>
      </c>
      <c r="CR251" s="43">
        <f t="shared" si="552"/>
        <v>0</v>
      </c>
      <c r="CS251" s="43">
        <f t="shared" si="553"/>
        <v>2209</v>
      </c>
      <c r="CT251" s="43">
        <f t="shared" si="553"/>
        <v>0</v>
      </c>
      <c r="CU251" s="43">
        <f t="shared" si="553"/>
        <v>2209</v>
      </c>
      <c r="CV251" s="43">
        <f t="shared" si="553"/>
        <v>0</v>
      </c>
      <c r="CW251" s="43">
        <f t="shared" si="554"/>
        <v>552.25</v>
      </c>
      <c r="CX251" s="43">
        <f t="shared" si="554"/>
        <v>0</v>
      </c>
      <c r="CY251" s="43"/>
      <c r="CZ251" s="43"/>
      <c r="DA251" s="43">
        <f t="shared" si="555"/>
        <v>1290.5</v>
      </c>
      <c r="DB251" s="43">
        <f t="shared" si="555"/>
        <v>0</v>
      </c>
      <c r="DC251" s="43">
        <v>1290.5</v>
      </c>
      <c r="DD251" s="43">
        <v>0</v>
      </c>
      <c r="DE251" s="43">
        <f t="shared" si="556"/>
        <v>0</v>
      </c>
      <c r="DF251" s="43">
        <f t="shared" si="556"/>
        <v>0</v>
      </c>
      <c r="DG251" s="43">
        <f t="shared" si="700"/>
        <v>552.25</v>
      </c>
      <c r="DH251" s="43">
        <f t="shared" si="700"/>
        <v>0</v>
      </c>
      <c r="DI251" s="43">
        <f>+DG251-DE251-93</f>
        <v>459.25</v>
      </c>
      <c r="DJ251" s="43">
        <f>+DH251-DF251</f>
        <v>0</v>
      </c>
      <c r="DK251" s="43"/>
      <c r="DL251" s="43"/>
      <c r="DM251" s="43">
        <f t="shared" si="558"/>
        <v>1749.75</v>
      </c>
      <c r="DN251" s="43">
        <f t="shared" si="558"/>
        <v>0</v>
      </c>
      <c r="DO251" s="94">
        <v>1739.75</v>
      </c>
      <c r="DP251" s="95">
        <v>0</v>
      </c>
      <c r="DQ251" s="60">
        <f t="shared" si="559"/>
        <v>10</v>
      </c>
      <c r="DR251" s="60">
        <f t="shared" si="559"/>
        <v>0</v>
      </c>
      <c r="DS251" s="60">
        <f t="shared" si="560"/>
        <v>173.97499999999999</v>
      </c>
      <c r="DT251" s="60">
        <f t="shared" si="560"/>
        <v>0</v>
      </c>
      <c r="DU251" s="60">
        <f t="shared" si="561"/>
        <v>163.97499999999999</v>
      </c>
      <c r="DV251" s="60">
        <f t="shared" si="561"/>
        <v>0</v>
      </c>
      <c r="DW251" s="60"/>
      <c r="DX251" s="60"/>
      <c r="DY251" s="60">
        <v>200</v>
      </c>
      <c r="DZ251" s="60">
        <f t="shared" si="569"/>
        <v>0</v>
      </c>
      <c r="EA251" s="60"/>
      <c r="EB251" s="60"/>
      <c r="EC251" s="43">
        <f t="shared" si="562"/>
        <v>1949.75</v>
      </c>
      <c r="ED251" s="43">
        <f t="shared" si="562"/>
        <v>0</v>
      </c>
      <c r="EE251" s="43">
        <v>1949.75</v>
      </c>
      <c r="EF251" s="43">
        <v>0</v>
      </c>
      <c r="EG251" s="43">
        <f t="shared" si="607"/>
        <v>100</v>
      </c>
      <c r="EH251" s="43" t="e">
        <f t="shared" si="607"/>
        <v>#DIV/0!</v>
      </c>
      <c r="EI251" s="43">
        <f t="shared" si="563"/>
        <v>0</v>
      </c>
      <c r="EJ251" s="43">
        <f t="shared" si="563"/>
        <v>0</v>
      </c>
      <c r="EK251" s="43">
        <f t="shared" si="564"/>
        <v>177.25</v>
      </c>
      <c r="EL251" s="43">
        <f t="shared" si="564"/>
        <v>0</v>
      </c>
      <c r="EM251" s="43">
        <f t="shared" si="565"/>
        <v>177.25</v>
      </c>
      <c r="EN251" s="43">
        <f t="shared" si="565"/>
        <v>0</v>
      </c>
      <c r="EO251" s="43">
        <v>259.25</v>
      </c>
      <c r="EP251" s="43">
        <v>0</v>
      </c>
      <c r="EQ251" s="5"/>
      <c r="ER251" s="5"/>
      <c r="ES251" s="48">
        <v>459.25</v>
      </c>
      <c r="ET251" s="48"/>
      <c r="EU251" s="5">
        <f t="shared" si="642"/>
        <v>0</v>
      </c>
      <c r="EV251" s="5">
        <f t="shared" si="642"/>
        <v>0</v>
      </c>
      <c r="EW251" s="5">
        <f>1904+305</f>
        <v>2209</v>
      </c>
      <c r="EX251" s="5">
        <v>0</v>
      </c>
      <c r="EY251" s="5">
        <f>420.8+3278.87</f>
        <v>3699.67</v>
      </c>
      <c r="EZ251" s="5">
        <v>0</v>
      </c>
    </row>
    <row r="252" spans="1:156" ht="18.75" x14ac:dyDescent="0.25">
      <c r="A252" s="37">
        <v>11</v>
      </c>
      <c r="B252" s="37"/>
      <c r="C252" s="91" t="s">
        <v>203</v>
      </c>
      <c r="D252" s="38" t="s">
        <v>516</v>
      </c>
      <c r="E252" s="39"/>
      <c r="F252" s="40">
        <v>0</v>
      </c>
      <c r="G252" s="40">
        <v>0</v>
      </c>
      <c r="H252" s="40">
        <v>0</v>
      </c>
      <c r="I252" s="40">
        <v>0</v>
      </c>
      <c r="J252" s="41">
        <v>0</v>
      </c>
      <c r="K252" s="41"/>
      <c r="L252" s="41"/>
      <c r="M252" s="41">
        <f t="shared" si="684"/>
        <v>0</v>
      </c>
      <c r="N252" s="41">
        <v>0</v>
      </c>
      <c r="O252" s="41"/>
      <c r="P252" s="41"/>
      <c r="Q252" s="41">
        <f t="shared" si="696"/>
        <v>0</v>
      </c>
      <c r="R252" s="41">
        <f t="shared" si="686"/>
        <v>0</v>
      </c>
      <c r="S252" s="41"/>
      <c r="T252" s="92"/>
      <c r="U252" s="92"/>
      <c r="V252" s="40">
        <f t="shared" si="697"/>
        <v>0</v>
      </c>
      <c r="W252" s="40">
        <f t="shared" si="698"/>
        <v>0</v>
      </c>
      <c r="X252" s="43">
        <f t="shared" si="529"/>
        <v>0</v>
      </c>
      <c r="Y252" s="43">
        <f t="shared" si="529"/>
        <v>0</v>
      </c>
      <c r="Z252" s="43"/>
      <c r="AA252" s="43"/>
      <c r="AB252" s="43">
        <f t="shared" si="547"/>
        <v>0</v>
      </c>
      <c r="AC252" s="43">
        <f t="shared" si="548"/>
        <v>0</v>
      </c>
      <c r="AD252" s="43">
        <f t="shared" si="699"/>
        <v>0</v>
      </c>
      <c r="AE252" s="43">
        <f t="shared" si="699"/>
        <v>0</v>
      </c>
      <c r="AF252" s="43">
        <f t="shared" si="570"/>
        <v>0</v>
      </c>
      <c r="AG252" s="43">
        <f t="shared" si="530"/>
        <v>0</v>
      </c>
      <c r="AH252" s="43">
        <f t="shared" si="530"/>
        <v>0</v>
      </c>
      <c r="AI252" s="93">
        <f t="shared" si="531"/>
        <v>0</v>
      </c>
      <c r="AJ252" s="43">
        <f t="shared" si="531"/>
        <v>0</v>
      </c>
      <c r="AK252" s="43"/>
      <c r="AL252" s="43"/>
      <c r="AM252" s="43">
        <f t="shared" si="571"/>
        <v>0</v>
      </c>
      <c r="AN252" s="43">
        <f t="shared" si="572"/>
        <v>0</v>
      </c>
      <c r="AO252" s="43"/>
      <c r="AP252" s="43"/>
      <c r="AQ252" s="43">
        <f t="shared" si="532"/>
        <v>0</v>
      </c>
      <c r="AR252" s="43">
        <f t="shared" si="532"/>
        <v>0</v>
      </c>
      <c r="AS252" s="43"/>
      <c r="AT252" s="43"/>
      <c r="AU252" s="43">
        <f t="shared" si="623"/>
        <v>0</v>
      </c>
      <c r="AV252" s="43">
        <f t="shared" si="623"/>
        <v>0</v>
      </c>
      <c r="AW252" s="43"/>
      <c r="AX252" s="43"/>
      <c r="AY252" s="43">
        <f t="shared" si="520"/>
        <v>0</v>
      </c>
      <c r="AZ252" s="43">
        <f t="shared" si="520"/>
        <v>0</v>
      </c>
      <c r="BA252" s="43">
        <f t="shared" si="521"/>
        <v>0</v>
      </c>
      <c r="BB252" s="60">
        <v>0</v>
      </c>
      <c r="BC252" s="60"/>
      <c r="BD252" s="60">
        <f t="shared" si="522"/>
        <v>0</v>
      </c>
      <c r="BE252" s="60">
        <f t="shared" si="522"/>
        <v>0</v>
      </c>
      <c r="BF252" s="60">
        <f t="shared" si="523"/>
        <v>0</v>
      </c>
      <c r="BG252" s="60">
        <f t="shared" si="523"/>
        <v>0</v>
      </c>
      <c r="BH252" s="43">
        <v>0</v>
      </c>
      <c r="BI252" s="43">
        <v>0</v>
      </c>
      <c r="BJ252" s="43"/>
      <c r="BK252" s="43"/>
      <c r="BL252" s="43">
        <f t="shared" si="545"/>
        <v>0</v>
      </c>
      <c r="BM252" s="43">
        <f t="shared" si="545"/>
        <v>0</v>
      </c>
      <c r="BN252" s="43">
        <f t="shared" si="573"/>
        <v>0</v>
      </c>
      <c r="BO252" s="43">
        <v>0</v>
      </c>
      <c r="BP252" s="93"/>
      <c r="BQ252" s="43">
        <f t="shared" si="549"/>
        <v>0</v>
      </c>
      <c r="BR252" s="43">
        <f t="shared" si="549"/>
        <v>0</v>
      </c>
      <c r="BS252" s="43">
        <f t="shared" si="550"/>
        <v>0</v>
      </c>
      <c r="BT252" s="43">
        <f t="shared" si="550"/>
        <v>0</v>
      </c>
      <c r="BU252" s="43">
        <f t="shared" si="583"/>
        <v>0</v>
      </c>
      <c r="BV252" s="43">
        <v>0</v>
      </c>
      <c r="BW252" s="43"/>
      <c r="BX252" s="43"/>
      <c r="BY252" s="43"/>
      <c r="BZ252" s="43"/>
      <c r="CA252" s="43">
        <v>0</v>
      </c>
      <c r="CB252" s="43">
        <v>0</v>
      </c>
      <c r="CC252" s="92">
        <v>0</v>
      </c>
      <c r="CD252" s="92">
        <v>0</v>
      </c>
      <c r="CE252" s="92">
        <v>0</v>
      </c>
      <c r="CF252" s="92">
        <v>0</v>
      </c>
      <c r="CG252" s="92">
        <f t="shared" si="551"/>
        <v>0</v>
      </c>
      <c r="CH252" s="92">
        <f t="shared" si="551"/>
        <v>0</v>
      </c>
      <c r="CI252" s="43"/>
      <c r="CJ252" s="43"/>
      <c r="CK252" s="43">
        <v>0</v>
      </c>
      <c r="CL252" s="43">
        <v>0</v>
      </c>
      <c r="CM252" s="43"/>
      <c r="CN252" s="43"/>
      <c r="CO252" s="43"/>
      <c r="CP252" s="43"/>
      <c r="CQ252" s="43">
        <f t="shared" si="552"/>
        <v>0</v>
      </c>
      <c r="CR252" s="43">
        <f t="shared" si="552"/>
        <v>0</v>
      </c>
      <c r="CS252" s="43">
        <f t="shared" si="553"/>
        <v>0</v>
      </c>
      <c r="CT252" s="43">
        <f t="shared" si="553"/>
        <v>0</v>
      </c>
      <c r="CU252" s="43">
        <f t="shared" si="553"/>
        <v>0</v>
      </c>
      <c r="CV252" s="43">
        <f t="shared" si="553"/>
        <v>0</v>
      </c>
      <c r="CW252" s="43">
        <f t="shared" si="554"/>
        <v>0</v>
      </c>
      <c r="CX252" s="43">
        <f t="shared" si="554"/>
        <v>0</v>
      </c>
      <c r="CY252" s="43"/>
      <c r="CZ252" s="43"/>
      <c r="DA252" s="43">
        <f t="shared" si="555"/>
        <v>0</v>
      </c>
      <c r="DB252" s="43">
        <f t="shared" si="555"/>
        <v>0</v>
      </c>
      <c r="DC252" s="43">
        <v>0</v>
      </c>
      <c r="DD252" s="43">
        <v>0</v>
      </c>
      <c r="DE252" s="43">
        <f t="shared" si="556"/>
        <v>0</v>
      </c>
      <c r="DF252" s="43">
        <f t="shared" si="556"/>
        <v>0</v>
      </c>
      <c r="DG252" s="43">
        <f t="shared" si="700"/>
        <v>0</v>
      </c>
      <c r="DH252" s="43">
        <f t="shared" si="700"/>
        <v>0</v>
      </c>
      <c r="DI252" s="43">
        <f>+DG252-DE252</f>
        <v>0</v>
      </c>
      <c r="DJ252" s="43">
        <f>+DH252-DF252</f>
        <v>0</v>
      </c>
      <c r="DK252" s="43"/>
      <c r="DL252" s="43"/>
      <c r="DM252" s="43">
        <f t="shared" si="558"/>
        <v>0</v>
      </c>
      <c r="DN252" s="43">
        <f t="shared" si="558"/>
        <v>0</v>
      </c>
      <c r="DO252" s="94">
        <v>0</v>
      </c>
      <c r="DP252" s="95">
        <v>0</v>
      </c>
      <c r="DQ252" s="60">
        <f t="shared" si="559"/>
        <v>0</v>
      </c>
      <c r="DR252" s="60">
        <f t="shared" si="559"/>
        <v>0</v>
      </c>
      <c r="DS252" s="60">
        <f t="shared" si="560"/>
        <v>0</v>
      </c>
      <c r="DT252" s="60">
        <f t="shared" si="560"/>
        <v>0</v>
      </c>
      <c r="DU252" s="60">
        <f t="shared" si="561"/>
        <v>0</v>
      </c>
      <c r="DV252" s="60">
        <f t="shared" si="561"/>
        <v>0</v>
      </c>
      <c r="DW252" s="60"/>
      <c r="DX252" s="60"/>
      <c r="DY252" s="60">
        <f t="shared" ref="DY252:DZ287" si="701">ROUND(DU252+DW252,2)</f>
        <v>0</v>
      </c>
      <c r="DZ252" s="60">
        <f t="shared" si="701"/>
        <v>0</v>
      </c>
      <c r="EA252" s="60"/>
      <c r="EB252" s="60"/>
      <c r="EC252" s="43">
        <f t="shared" si="562"/>
        <v>0</v>
      </c>
      <c r="ED252" s="43">
        <f t="shared" si="562"/>
        <v>0</v>
      </c>
      <c r="EE252" s="43">
        <v>0</v>
      </c>
      <c r="EF252" s="43">
        <v>0</v>
      </c>
      <c r="EG252" s="43" t="e">
        <f t="shared" si="607"/>
        <v>#DIV/0!</v>
      </c>
      <c r="EH252" s="43" t="e">
        <f t="shared" si="607"/>
        <v>#DIV/0!</v>
      </c>
      <c r="EI252" s="43">
        <f t="shared" si="563"/>
        <v>0</v>
      </c>
      <c r="EJ252" s="43">
        <f t="shared" si="563"/>
        <v>0</v>
      </c>
      <c r="EK252" s="43">
        <f t="shared" si="564"/>
        <v>0</v>
      </c>
      <c r="EL252" s="43">
        <f t="shared" si="564"/>
        <v>0</v>
      </c>
      <c r="EM252" s="43">
        <f t="shared" si="565"/>
        <v>0</v>
      </c>
      <c r="EN252" s="43">
        <f t="shared" si="565"/>
        <v>0</v>
      </c>
      <c r="EO252" s="43">
        <v>0</v>
      </c>
      <c r="EP252" s="43">
        <v>0</v>
      </c>
      <c r="EQ252" s="5"/>
      <c r="ER252" s="5"/>
      <c r="ES252" s="5"/>
      <c r="ET252" s="5"/>
      <c r="EU252" s="5">
        <f t="shared" si="642"/>
        <v>0</v>
      </c>
      <c r="EV252" s="5">
        <f t="shared" si="642"/>
        <v>0</v>
      </c>
      <c r="EW252" s="5">
        <v>0</v>
      </c>
      <c r="EX252" s="5">
        <v>0</v>
      </c>
      <c r="EY252" s="5">
        <v>0</v>
      </c>
      <c r="EZ252" s="5">
        <v>0</v>
      </c>
    </row>
    <row r="253" spans="1:156" ht="18.75" x14ac:dyDescent="0.25">
      <c r="A253" s="68">
        <f>SSK10</f>
        <v>0</v>
      </c>
      <c r="B253" s="68" t="s">
        <v>517</v>
      </c>
      <c r="C253" s="91" t="s">
        <v>203</v>
      </c>
      <c r="D253" s="67" t="s">
        <v>513</v>
      </c>
      <c r="E253" s="69" t="s">
        <v>518</v>
      </c>
      <c r="F253" s="123">
        <v>3097.6800000000003</v>
      </c>
      <c r="G253" s="123">
        <v>111.77000000000002</v>
      </c>
      <c r="H253" s="123">
        <v>3122.45</v>
      </c>
      <c r="I253" s="123">
        <v>87.000000000000014</v>
      </c>
      <c r="J253" s="124">
        <f t="shared" ref="J253:AA253" si="702">+J249+J250+J251+J252</f>
        <v>3461</v>
      </c>
      <c r="K253" s="124">
        <f t="shared" si="702"/>
        <v>0</v>
      </c>
      <c r="L253" s="124">
        <f t="shared" si="702"/>
        <v>0</v>
      </c>
      <c r="M253" s="124">
        <f t="shared" si="702"/>
        <v>3461</v>
      </c>
      <c r="N253" s="124">
        <f t="shared" si="702"/>
        <v>89.7</v>
      </c>
      <c r="O253" s="124">
        <f t="shared" si="702"/>
        <v>0</v>
      </c>
      <c r="P253" s="124">
        <f t="shared" si="702"/>
        <v>0</v>
      </c>
      <c r="Q253" s="124">
        <f t="shared" si="702"/>
        <v>89.7</v>
      </c>
      <c r="R253" s="124">
        <f t="shared" si="702"/>
        <v>3550.7</v>
      </c>
      <c r="S253" s="124">
        <f t="shared" si="702"/>
        <v>15</v>
      </c>
      <c r="T253" s="124">
        <f t="shared" si="702"/>
        <v>0</v>
      </c>
      <c r="U253" s="124">
        <f t="shared" si="702"/>
        <v>0</v>
      </c>
      <c r="V253" s="124">
        <f t="shared" si="702"/>
        <v>3304.49</v>
      </c>
      <c r="W253" s="124">
        <f t="shared" si="702"/>
        <v>89.84</v>
      </c>
      <c r="X253" s="124">
        <f t="shared" si="702"/>
        <v>246.20999999999987</v>
      </c>
      <c r="Y253" s="124">
        <f t="shared" si="702"/>
        <v>-74.84</v>
      </c>
      <c r="Z253" s="124">
        <f t="shared" si="702"/>
        <v>3204.91</v>
      </c>
      <c r="AA253" s="124">
        <f t="shared" si="702"/>
        <v>67.7</v>
      </c>
      <c r="AB253" s="123">
        <f t="shared" si="547"/>
        <v>3272.6099999999997</v>
      </c>
      <c r="AC253" s="43">
        <f t="shared" si="548"/>
        <v>0</v>
      </c>
      <c r="AD253" s="123">
        <f t="shared" ref="AD253:CQ253" si="703">+AD249+AD250+AD251+AD252</f>
        <v>3272.61</v>
      </c>
      <c r="AE253" s="123">
        <f t="shared" si="703"/>
        <v>5</v>
      </c>
      <c r="AF253" s="123">
        <f t="shared" si="703"/>
        <v>13.53</v>
      </c>
      <c r="AG253" s="123">
        <f t="shared" si="703"/>
        <v>818</v>
      </c>
      <c r="AH253" s="123">
        <f t="shared" si="703"/>
        <v>4</v>
      </c>
      <c r="AI253" s="125">
        <f t="shared" si="703"/>
        <v>273</v>
      </c>
      <c r="AJ253" s="123">
        <f t="shared" si="703"/>
        <v>1</v>
      </c>
      <c r="AK253" s="123">
        <f t="shared" si="703"/>
        <v>0</v>
      </c>
      <c r="AL253" s="123">
        <f t="shared" si="703"/>
        <v>0</v>
      </c>
      <c r="AM253" s="123">
        <f t="shared" si="703"/>
        <v>818.16000000000008</v>
      </c>
      <c r="AN253" s="123">
        <f t="shared" si="703"/>
        <v>0</v>
      </c>
      <c r="AO253" s="123">
        <f t="shared" si="703"/>
        <v>0</v>
      </c>
      <c r="AP253" s="123">
        <f t="shared" si="703"/>
        <v>0</v>
      </c>
      <c r="AQ253" s="123">
        <f t="shared" si="703"/>
        <v>1636.16</v>
      </c>
      <c r="AR253" s="123">
        <f t="shared" si="703"/>
        <v>4</v>
      </c>
      <c r="AS253" s="123">
        <f t="shared" si="703"/>
        <v>0</v>
      </c>
      <c r="AT253" s="123">
        <f t="shared" si="703"/>
        <v>0</v>
      </c>
      <c r="AU253" s="123">
        <f t="shared" si="703"/>
        <v>818.16000000000008</v>
      </c>
      <c r="AV253" s="123">
        <f t="shared" si="703"/>
        <v>0</v>
      </c>
      <c r="AW253" s="123">
        <f t="shared" si="703"/>
        <v>0</v>
      </c>
      <c r="AX253" s="123">
        <f t="shared" si="703"/>
        <v>0</v>
      </c>
      <c r="AY253" s="123">
        <f t="shared" si="703"/>
        <v>2727.32</v>
      </c>
      <c r="AZ253" s="123">
        <f t="shared" si="703"/>
        <v>5</v>
      </c>
      <c r="BA253" s="123">
        <f t="shared" si="703"/>
        <v>2732.32</v>
      </c>
      <c r="BB253" s="123">
        <f t="shared" si="703"/>
        <v>2652.77</v>
      </c>
      <c r="BC253" s="123">
        <f t="shared" si="703"/>
        <v>3.71</v>
      </c>
      <c r="BD253" s="123">
        <f t="shared" si="703"/>
        <v>74.549999999999955</v>
      </c>
      <c r="BE253" s="123">
        <f t="shared" si="703"/>
        <v>1.29</v>
      </c>
      <c r="BF253" s="123">
        <f t="shared" si="703"/>
        <v>530.54999999999995</v>
      </c>
      <c r="BG253" s="125">
        <f t="shared" si="703"/>
        <v>0.74</v>
      </c>
      <c r="BH253" s="125">
        <f t="shared" si="703"/>
        <v>227.98999999999998</v>
      </c>
      <c r="BI253" s="125">
        <f t="shared" si="703"/>
        <v>0</v>
      </c>
      <c r="BJ253" s="125">
        <f t="shared" si="703"/>
        <v>0</v>
      </c>
      <c r="BK253" s="125">
        <f t="shared" si="703"/>
        <v>0</v>
      </c>
      <c r="BL253" s="125">
        <f t="shared" si="703"/>
        <v>2955.3100000000004</v>
      </c>
      <c r="BM253" s="125">
        <f t="shared" si="703"/>
        <v>5</v>
      </c>
      <c r="BN253" s="125">
        <f t="shared" si="703"/>
        <v>2960.3100000000004</v>
      </c>
      <c r="BO253" s="125">
        <f t="shared" si="703"/>
        <v>2905.2000000000003</v>
      </c>
      <c r="BP253" s="125">
        <f t="shared" si="703"/>
        <v>3.74</v>
      </c>
      <c r="BQ253" s="123">
        <f t="shared" si="703"/>
        <v>50.109999999999928</v>
      </c>
      <c r="BR253" s="123">
        <f t="shared" si="703"/>
        <v>1.2599999999999998</v>
      </c>
      <c r="BS253" s="123">
        <f t="shared" si="703"/>
        <v>264.11</v>
      </c>
      <c r="BT253" s="123">
        <f t="shared" si="703"/>
        <v>0.34</v>
      </c>
      <c r="BU253" s="123">
        <f t="shared" si="703"/>
        <v>314</v>
      </c>
      <c r="BV253" s="123">
        <f t="shared" si="703"/>
        <v>0</v>
      </c>
      <c r="BW253" s="123">
        <f t="shared" si="703"/>
        <v>175.32</v>
      </c>
      <c r="BX253" s="123">
        <f t="shared" si="703"/>
        <v>0.74</v>
      </c>
      <c r="BY253" s="123">
        <f t="shared" si="703"/>
        <v>0</v>
      </c>
      <c r="BZ253" s="123">
        <f t="shared" si="703"/>
        <v>0</v>
      </c>
      <c r="CA253" s="123">
        <f t="shared" si="703"/>
        <v>3444.63</v>
      </c>
      <c r="CB253" s="123">
        <f t="shared" si="703"/>
        <v>5.74</v>
      </c>
      <c r="CC253" s="123">
        <f t="shared" si="703"/>
        <v>3789.0899999999997</v>
      </c>
      <c r="CD253" s="123">
        <f t="shared" si="703"/>
        <v>6.6</v>
      </c>
      <c r="CE253" s="123">
        <f t="shared" si="703"/>
        <v>317</v>
      </c>
      <c r="CF253" s="123">
        <f t="shared" si="703"/>
        <v>1</v>
      </c>
      <c r="CG253" s="123">
        <f t="shared" si="703"/>
        <v>861.16000000000008</v>
      </c>
      <c r="CH253" s="125">
        <f t="shared" si="703"/>
        <v>1.44</v>
      </c>
      <c r="CI253" s="123">
        <f t="shared" si="703"/>
        <v>0</v>
      </c>
      <c r="CJ253" s="123">
        <f t="shared" si="703"/>
        <v>0</v>
      </c>
      <c r="CK253" s="123">
        <f t="shared" si="703"/>
        <v>967.25</v>
      </c>
      <c r="CL253" s="123">
        <f t="shared" si="703"/>
        <v>1</v>
      </c>
      <c r="CM253" s="123">
        <f t="shared" si="703"/>
        <v>0</v>
      </c>
      <c r="CN253" s="123">
        <f t="shared" si="703"/>
        <v>0</v>
      </c>
      <c r="CO253" s="123">
        <f t="shared" si="703"/>
        <v>5040.6400000000003</v>
      </c>
      <c r="CP253" s="123">
        <f t="shared" si="703"/>
        <v>3</v>
      </c>
      <c r="CQ253" s="123">
        <f t="shared" si="703"/>
        <v>3869</v>
      </c>
      <c r="CR253" s="123">
        <f t="shared" ref="CR253:EZ253" si="704">+CR249+CR250+CR251+CR252</f>
        <v>4</v>
      </c>
      <c r="CS253" s="123">
        <f t="shared" si="704"/>
        <v>3869</v>
      </c>
      <c r="CT253" s="123">
        <f t="shared" si="704"/>
        <v>3</v>
      </c>
      <c r="CU253" s="123">
        <f t="shared" si="704"/>
        <v>3869</v>
      </c>
      <c r="CV253" s="123">
        <f t="shared" si="704"/>
        <v>67.5</v>
      </c>
      <c r="CW253" s="123">
        <f t="shared" si="704"/>
        <v>1067.25</v>
      </c>
      <c r="CX253" s="123">
        <f t="shared" si="704"/>
        <v>65.5</v>
      </c>
      <c r="CY253" s="123">
        <f t="shared" si="704"/>
        <v>0</v>
      </c>
      <c r="CZ253" s="123">
        <f t="shared" si="704"/>
        <v>0</v>
      </c>
      <c r="DA253" s="123">
        <f t="shared" si="704"/>
        <v>2351.5</v>
      </c>
      <c r="DB253" s="123">
        <f t="shared" si="704"/>
        <v>67.5</v>
      </c>
      <c r="DC253" s="123">
        <f t="shared" si="704"/>
        <v>2186.21</v>
      </c>
      <c r="DD253" s="123">
        <f t="shared" si="704"/>
        <v>0.63</v>
      </c>
      <c r="DE253" s="123">
        <f t="shared" si="704"/>
        <v>165.28999999999996</v>
      </c>
      <c r="DF253" s="123">
        <f t="shared" si="704"/>
        <v>66.87</v>
      </c>
      <c r="DG253" s="123">
        <f t="shared" si="704"/>
        <v>944.6</v>
      </c>
      <c r="DH253" s="123">
        <f t="shared" si="704"/>
        <v>16.88</v>
      </c>
      <c r="DI253" s="123">
        <f t="shared" si="704"/>
        <v>734.23</v>
      </c>
      <c r="DJ253" s="123">
        <f t="shared" si="704"/>
        <v>0</v>
      </c>
      <c r="DK253" s="123">
        <f t="shared" si="704"/>
        <v>0</v>
      </c>
      <c r="DL253" s="123">
        <f t="shared" si="704"/>
        <v>0</v>
      </c>
      <c r="DM253" s="123">
        <f t="shared" si="704"/>
        <v>3085.73</v>
      </c>
      <c r="DN253" s="123">
        <f t="shared" si="704"/>
        <v>67.5</v>
      </c>
      <c r="DO253" s="123">
        <f t="shared" si="704"/>
        <v>3030.25</v>
      </c>
      <c r="DP253" s="123">
        <f t="shared" si="704"/>
        <v>66.13</v>
      </c>
      <c r="DQ253" s="123">
        <f t="shared" si="704"/>
        <v>55.48</v>
      </c>
      <c r="DR253" s="123">
        <f t="shared" si="704"/>
        <v>1.37</v>
      </c>
      <c r="DS253" s="123">
        <f t="shared" si="704"/>
        <v>303.02499999999998</v>
      </c>
      <c r="DT253" s="123">
        <f t="shared" si="704"/>
        <v>6.6129999999999995</v>
      </c>
      <c r="DU253" s="123">
        <f t="shared" si="704"/>
        <v>247.54500000000002</v>
      </c>
      <c r="DV253" s="123">
        <f t="shared" si="704"/>
        <v>5.2429999999999994</v>
      </c>
      <c r="DW253" s="123">
        <f t="shared" si="704"/>
        <v>0</v>
      </c>
      <c r="DX253" s="123">
        <f t="shared" si="704"/>
        <v>0</v>
      </c>
      <c r="DY253" s="123">
        <f t="shared" si="704"/>
        <v>335</v>
      </c>
      <c r="DZ253" s="123">
        <f t="shared" si="704"/>
        <v>36</v>
      </c>
      <c r="EA253" s="123">
        <f t="shared" si="704"/>
        <v>0</v>
      </c>
      <c r="EB253" s="125">
        <f t="shared" si="704"/>
        <v>0</v>
      </c>
      <c r="EC253" s="123">
        <f t="shared" si="704"/>
        <v>3420.73</v>
      </c>
      <c r="ED253" s="123">
        <f t="shared" si="704"/>
        <v>103.5</v>
      </c>
      <c r="EE253" s="123">
        <f t="shared" si="704"/>
        <v>3339.8599999999997</v>
      </c>
      <c r="EF253" s="123">
        <f t="shared" si="704"/>
        <v>103.48</v>
      </c>
      <c r="EG253" s="123" t="e">
        <f t="shared" si="704"/>
        <v>#DIV/0!</v>
      </c>
      <c r="EH253" s="123" t="e">
        <f t="shared" si="704"/>
        <v>#DIV/0!</v>
      </c>
      <c r="EI253" s="123">
        <f t="shared" si="704"/>
        <v>80.87</v>
      </c>
      <c r="EJ253" s="123">
        <f t="shared" si="704"/>
        <v>0.02</v>
      </c>
      <c r="EK253" s="123">
        <f t="shared" si="704"/>
        <v>303.63</v>
      </c>
      <c r="EL253" s="123">
        <f t="shared" si="704"/>
        <v>9.41</v>
      </c>
      <c r="EM253" s="123">
        <f t="shared" si="704"/>
        <v>222.76</v>
      </c>
      <c r="EN253" s="123">
        <f t="shared" si="704"/>
        <v>9.39</v>
      </c>
      <c r="EO253" s="123">
        <f t="shared" si="704"/>
        <v>324.25</v>
      </c>
      <c r="EP253" s="123">
        <f t="shared" si="704"/>
        <v>1.25</v>
      </c>
      <c r="EQ253" s="138">
        <f t="shared" si="704"/>
        <v>0</v>
      </c>
      <c r="ER253" s="77">
        <f t="shared" si="704"/>
        <v>0</v>
      </c>
      <c r="ES253" s="77">
        <f t="shared" si="704"/>
        <v>674.25</v>
      </c>
      <c r="ET253" s="77">
        <f t="shared" si="704"/>
        <v>36.1</v>
      </c>
      <c r="EU253" s="5">
        <f t="shared" si="642"/>
        <v>33.420000000000073</v>
      </c>
      <c r="EV253" s="5">
        <f t="shared" si="642"/>
        <v>5.25</v>
      </c>
      <c r="EW253" s="77">
        <f t="shared" si="704"/>
        <v>3778.4</v>
      </c>
      <c r="EX253" s="77">
        <f t="shared" si="704"/>
        <v>110</v>
      </c>
      <c r="EY253" s="77">
        <f t="shared" si="704"/>
        <v>5433.43</v>
      </c>
      <c r="EZ253" s="77">
        <f t="shared" si="704"/>
        <v>41</v>
      </c>
    </row>
    <row r="254" spans="1:156" ht="18.75" x14ac:dyDescent="0.25">
      <c r="A254" s="37">
        <v>13</v>
      </c>
      <c r="B254" s="37"/>
      <c r="C254" s="91" t="s">
        <v>102</v>
      </c>
      <c r="D254" s="38" t="s">
        <v>519</v>
      </c>
      <c r="E254" s="39"/>
      <c r="F254" s="40">
        <v>1865.8600000000001</v>
      </c>
      <c r="G254" s="40">
        <v>460.61000000000007</v>
      </c>
      <c r="H254" s="40">
        <v>1865.8600000000001</v>
      </c>
      <c r="I254" s="40">
        <v>390.61000000000007</v>
      </c>
      <c r="J254" s="41">
        <v>2000</v>
      </c>
      <c r="K254" s="41"/>
      <c r="L254" s="41">
        <v>0.3</v>
      </c>
      <c r="M254" s="41">
        <f t="shared" si="684"/>
        <v>2000.3</v>
      </c>
      <c r="N254" s="41"/>
      <c r="O254" s="41"/>
      <c r="P254" s="41"/>
      <c r="Q254" s="41">
        <f t="shared" ref="Q254:Q255" si="705">N254+O254+P254</f>
        <v>0</v>
      </c>
      <c r="R254" s="41">
        <f t="shared" si="686"/>
        <v>2000.3</v>
      </c>
      <c r="S254" s="41">
        <v>240</v>
      </c>
      <c r="T254" s="92"/>
      <c r="U254" s="92"/>
      <c r="V254" s="40">
        <f t="shared" ref="V254:V255" si="706">ROUND(H254*1.0583,2)</f>
        <v>1974.64</v>
      </c>
      <c r="W254" s="40">
        <f t="shared" ref="W254:W255" si="707">ROUND(I254*1.0327,2)</f>
        <v>403.38</v>
      </c>
      <c r="X254" s="43">
        <f t="shared" si="529"/>
        <v>25.659999999999854</v>
      </c>
      <c r="Y254" s="43">
        <f t="shared" si="529"/>
        <v>-163.38</v>
      </c>
      <c r="Z254" s="43">
        <v>1974.64</v>
      </c>
      <c r="AA254" s="43"/>
      <c r="AB254" s="43">
        <f t="shared" si="547"/>
        <v>1974.64</v>
      </c>
      <c r="AC254" s="43">
        <f t="shared" si="548"/>
        <v>0</v>
      </c>
      <c r="AD254" s="43">
        <f t="shared" ref="AD254:AE255" si="708">IF(X254&gt;0,V254,R254)</f>
        <v>1974.64</v>
      </c>
      <c r="AE254" s="43">
        <f t="shared" si="708"/>
        <v>240</v>
      </c>
      <c r="AF254" s="43">
        <f t="shared" si="570"/>
        <v>216.53</v>
      </c>
      <c r="AG254" s="43">
        <f t="shared" si="530"/>
        <v>494</v>
      </c>
      <c r="AH254" s="43">
        <f t="shared" si="530"/>
        <v>60</v>
      </c>
      <c r="AI254" s="93">
        <f t="shared" si="531"/>
        <v>165</v>
      </c>
      <c r="AJ254" s="43">
        <f t="shared" si="531"/>
        <v>20</v>
      </c>
      <c r="AK254" s="43"/>
      <c r="AL254" s="43">
        <v>100</v>
      </c>
      <c r="AM254" s="43">
        <f t="shared" si="571"/>
        <v>493.66</v>
      </c>
      <c r="AN254" s="43">
        <f>ROUND(AE254*24.35%,2)-8.44</f>
        <v>50</v>
      </c>
      <c r="AO254" s="43"/>
      <c r="AP254" s="43"/>
      <c r="AQ254" s="43">
        <f t="shared" si="532"/>
        <v>987.66000000000008</v>
      </c>
      <c r="AR254" s="43">
        <f t="shared" si="532"/>
        <v>210</v>
      </c>
      <c r="AS254" s="43"/>
      <c r="AT254" s="43"/>
      <c r="AU254" s="43">
        <f t="shared" si="623"/>
        <v>493.66</v>
      </c>
      <c r="AV254" s="43">
        <f>ROUND(AE254*25%,2)-60</f>
        <v>0</v>
      </c>
      <c r="AW254" s="43"/>
      <c r="AX254" s="43"/>
      <c r="AY254" s="43">
        <f t="shared" si="520"/>
        <v>1646.3200000000002</v>
      </c>
      <c r="AZ254" s="43">
        <f t="shared" si="520"/>
        <v>230</v>
      </c>
      <c r="BA254" s="43">
        <f t="shared" si="521"/>
        <v>1876.3200000000002</v>
      </c>
      <c r="BB254" s="60">
        <v>1566.73</v>
      </c>
      <c r="BC254" s="60">
        <v>222.73</v>
      </c>
      <c r="BD254" s="60">
        <f t="shared" si="522"/>
        <v>79.590000000000146</v>
      </c>
      <c r="BE254" s="60">
        <f t="shared" si="522"/>
        <v>7.2700000000000102</v>
      </c>
      <c r="BF254" s="60">
        <f t="shared" si="523"/>
        <v>313.35000000000002</v>
      </c>
      <c r="BG254" s="60">
        <f t="shared" si="523"/>
        <v>44.55</v>
      </c>
      <c r="BH254" s="43">
        <v>117.89</v>
      </c>
      <c r="BI254" s="43">
        <v>14.5</v>
      </c>
      <c r="BJ254" s="43"/>
      <c r="BK254" s="43"/>
      <c r="BL254" s="43">
        <f t="shared" si="545"/>
        <v>1764.2100000000003</v>
      </c>
      <c r="BM254" s="43">
        <f t="shared" si="545"/>
        <v>244.5</v>
      </c>
      <c r="BN254" s="43">
        <f t="shared" si="573"/>
        <v>2008.7100000000003</v>
      </c>
      <c r="BO254" s="43">
        <v>1724.84</v>
      </c>
      <c r="BP254" s="93">
        <v>228.54</v>
      </c>
      <c r="BQ254" s="43">
        <f t="shared" si="549"/>
        <v>39.370000000000346</v>
      </c>
      <c r="BR254" s="43">
        <f t="shared" si="549"/>
        <v>15.960000000000008</v>
      </c>
      <c r="BS254" s="43">
        <f t="shared" si="550"/>
        <v>156.80000000000001</v>
      </c>
      <c r="BT254" s="43">
        <f t="shared" si="550"/>
        <v>20.78</v>
      </c>
      <c r="BU254" s="43">
        <v>122.89</v>
      </c>
      <c r="BV254" s="43">
        <v>14.5</v>
      </c>
      <c r="BW254" s="43"/>
      <c r="BX254" s="43"/>
      <c r="BY254" s="43"/>
      <c r="BZ254" s="43"/>
      <c r="CA254" s="43">
        <v>1887.1000000000004</v>
      </c>
      <c r="CB254" s="43">
        <v>259</v>
      </c>
      <c r="CC254" s="92">
        <v>2075.81</v>
      </c>
      <c r="CD254" s="92">
        <v>297.85000000000002</v>
      </c>
      <c r="CE254" s="92">
        <v>173</v>
      </c>
      <c r="CF254" s="92">
        <v>25</v>
      </c>
      <c r="CG254" s="92">
        <f t="shared" si="551"/>
        <v>471.78</v>
      </c>
      <c r="CH254" s="92">
        <f t="shared" si="551"/>
        <v>64.75</v>
      </c>
      <c r="CI254" s="43"/>
      <c r="CJ254" s="43"/>
      <c r="CK254" s="72">
        <f>572.5-50</f>
        <v>522.5</v>
      </c>
      <c r="CL254" s="72">
        <f>273.7-173.7-20</f>
        <v>80</v>
      </c>
      <c r="CM254" s="72">
        <v>50</v>
      </c>
      <c r="CN254" s="72">
        <v>193.7</v>
      </c>
      <c r="CO254" s="43">
        <v>1975.1</v>
      </c>
      <c r="CP254" s="43">
        <v>615</v>
      </c>
      <c r="CQ254" s="43">
        <f t="shared" si="552"/>
        <v>2090</v>
      </c>
      <c r="CR254" s="43">
        <f t="shared" si="552"/>
        <v>320</v>
      </c>
      <c r="CS254" s="43">
        <f t="shared" si="553"/>
        <v>1975.1</v>
      </c>
      <c r="CT254" s="43">
        <f t="shared" si="553"/>
        <v>320</v>
      </c>
      <c r="CU254" s="43">
        <f t="shared" si="553"/>
        <v>1975.1</v>
      </c>
      <c r="CV254" s="43">
        <f>IF(CR254&lt;CT254,CR254,CT254)+67.53+61.39</f>
        <v>448.91999999999996</v>
      </c>
      <c r="CW254" s="43">
        <v>493.78</v>
      </c>
      <c r="CX254" s="43">
        <v>0</v>
      </c>
      <c r="CY254" s="43"/>
      <c r="CZ254" s="43">
        <v>88.83</v>
      </c>
      <c r="DA254" s="43">
        <v>1239.28</v>
      </c>
      <c r="DB254" s="43">
        <v>387.53</v>
      </c>
      <c r="DC254" s="43">
        <v>1208.73</v>
      </c>
      <c r="DD254" s="43">
        <v>303.5</v>
      </c>
      <c r="DE254" s="43">
        <v>30.549999999999955</v>
      </c>
      <c r="DF254" s="43">
        <v>84.029999999999973</v>
      </c>
      <c r="DG254" s="43">
        <v>493.78</v>
      </c>
      <c r="DH254" s="43">
        <v>80</v>
      </c>
      <c r="DI254" s="43">
        <v>463.23</v>
      </c>
      <c r="DJ254" s="43">
        <v>2.7533531010703882E-14</v>
      </c>
      <c r="DK254" s="43"/>
      <c r="DL254" s="43">
        <v>61.39</v>
      </c>
      <c r="DM254" s="43">
        <f t="shared" si="558"/>
        <v>1702.51</v>
      </c>
      <c r="DN254" s="43">
        <f t="shared" si="558"/>
        <v>448.91999999999996</v>
      </c>
      <c r="DO254" s="94">
        <v>1698.15</v>
      </c>
      <c r="DP254" s="95">
        <v>434.25</v>
      </c>
      <c r="DQ254" s="60">
        <f t="shared" si="559"/>
        <v>4.3600000000000003</v>
      </c>
      <c r="DR254" s="60">
        <f t="shared" si="559"/>
        <v>14.67</v>
      </c>
      <c r="DS254" s="60">
        <f t="shared" si="560"/>
        <v>169.815</v>
      </c>
      <c r="DT254" s="60">
        <f t="shared" si="560"/>
        <v>43.424999999999997</v>
      </c>
      <c r="DU254" s="60">
        <f t="shared" si="561"/>
        <v>165.45499999999998</v>
      </c>
      <c r="DV254" s="60">
        <f t="shared" si="561"/>
        <v>28.754999999999995</v>
      </c>
      <c r="DW254" s="60"/>
      <c r="DX254" s="60"/>
      <c r="DY254" s="60">
        <f t="shared" si="701"/>
        <v>165.46</v>
      </c>
      <c r="DZ254" s="60">
        <v>175</v>
      </c>
      <c r="EA254" s="60"/>
      <c r="EB254" s="60"/>
      <c r="EC254" s="43">
        <f t="shared" si="562"/>
        <v>1867.97</v>
      </c>
      <c r="ED254" s="43">
        <f t="shared" si="562"/>
        <v>623.91999999999996</v>
      </c>
      <c r="EE254" s="43">
        <v>1864.61</v>
      </c>
      <c r="EF254" s="43">
        <v>487.58</v>
      </c>
      <c r="EG254" s="43">
        <f t="shared" si="607"/>
        <v>99.82</v>
      </c>
      <c r="EH254" s="43">
        <f t="shared" si="607"/>
        <v>78.150000000000006</v>
      </c>
      <c r="EI254" s="43">
        <f t="shared" si="563"/>
        <v>3.36</v>
      </c>
      <c r="EJ254" s="43">
        <f t="shared" si="563"/>
        <v>136.34</v>
      </c>
      <c r="EK254" s="43">
        <f t="shared" si="564"/>
        <v>169.51</v>
      </c>
      <c r="EL254" s="43">
        <f t="shared" si="564"/>
        <v>44.33</v>
      </c>
      <c r="EM254" s="43">
        <f t="shared" si="565"/>
        <v>166.14999999999998</v>
      </c>
      <c r="EN254" s="43">
        <f t="shared" si="565"/>
        <v>-92.01</v>
      </c>
      <c r="EO254" s="43">
        <v>207.63</v>
      </c>
      <c r="EP254" s="43">
        <v>60</v>
      </c>
      <c r="EQ254" s="5"/>
      <c r="ER254" s="5"/>
      <c r="ES254" s="5"/>
      <c r="ET254" s="45">
        <v>241.13</v>
      </c>
      <c r="EU254" s="5">
        <f t="shared" si="642"/>
        <v>-80.500000000000114</v>
      </c>
      <c r="EV254" s="5">
        <f t="shared" si="642"/>
        <v>-68.919999999999959</v>
      </c>
      <c r="EW254" s="5">
        <v>1995.1</v>
      </c>
      <c r="EX254" s="5">
        <v>615</v>
      </c>
      <c r="EY254" s="5">
        <v>1978.1</v>
      </c>
      <c r="EZ254" s="5">
        <v>320</v>
      </c>
    </row>
    <row r="255" spans="1:156" ht="18.75" x14ac:dyDescent="0.25">
      <c r="A255" s="37">
        <v>14</v>
      </c>
      <c r="B255" s="37"/>
      <c r="C255" s="91" t="s">
        <v>102</v>
      </c>
      <c r="D255" s="38" t="s">
        <v>520</v>
      </c>
      <c r="E255" s="39"/>
      <c r="F255" s="40">
        <v>0</v>
      </c>
      <c r="G255" s="40">
        <v>0</v>
      </c>
      <c r="H255" s="40">
        <v>0</v>
      </c>
      <c r="I255" s="40">
        <v>0</v>
      </c>
      <c r="J255" s="41">
        <v>0</v>
      </c>
      <c r="K255" s="41">
        <v>0</v>
      </c>
      <c r="L255" s="41">
        <v>0</v>
      </c>
      <c r="M255" s="41">
        <f t="shared" si="684"/>
        <v>0</v>
      </c>
      <c r="N255" s="41">
        <v>0</v>
      </c>
      <c r="O255" s="41">
        <v>0</v>
      </c>
      <c r="P255" s="41"/>
      <c r="Q255" s="41">
        <f t="shared" si="705"/>
        <v>0</v>
      </c>
      <c r="R255" s="41">
        <f t="shared" si="686"/>
        <v>0</v>
      </c>
      <c r="S255" s="41">
        <v>0</v>
      </c>
      <c r="T255" s="92"/>
      <c r="U255" s="92"/>
      <c r="V255" s="40">
        <f t="shared" si="706"/>
        <v>0</v>
      </c>
      <c r="W255" s="40">
        <f t="shared" si="707"/>
        <v>0</v>
      </c>
      <c r="X255" s="43">
        <f t="shared" si="529"/>
        <v>0</v>
      </c>
      <c r="Y255" s="43">
        <f t="shared" si="529"/>
        <v>0</v>
      </c>
      <c r="Z255" s="43">
        <v>0</v>
      </c>
      <c r="AA255" s="43"/>
      <c r="AB255" s="43">
        <f t="shared" si="547"/>
        <v>0</v>
      </c>
      <c r="AC255" s="43">
        <f t="shared" si="548"/>
        <v>0</v>
      </c>
      <c r="AD255" s="43">
        <f t="shared" si="708"/>
        <v>0</v>
      </c>
      <c r="AE255" s="43">
        <f t="shared" si="708"/>
        <v>0</v>
      </c>
      <c r="AF255" s="43">
        <f t="shared" si="570"/>
        <v>0</v>
      </c>
      <c r="AG255" s="43">
        <f t="shared" si="530"/>
        <v>0</v>
      </c>
      <c r="AH255" s="43">
        <f t="shared" si="530"/>
        <v>0</v>
      </c>
      <c r="AI255" s="93">
        <f t="shared" si="531"/>
        <v>0</v>
      </c>
      <c r="AJ255" s="43">
        <f t="shared" si="531"/>
        <v>0</v>
      </c>
      <c r="AK255" s="43"/>
      <c r="AL255" s="43"/>
      <c r="AM255" s="43">
        <f t="shared" si="571"/>
        <v>0</v>
      </c>
      <c r="AN255" s="43">
        <f t="shared" si="572"/>
        <v>0</v>
      </c>
      <c r="AO255" s="43"/>
      <c r="AP255" s="43"/>
      <c r="AQ255" s="43">
        <f t="shared" si="532"/>
        <v>0</v>
      </c>
      <c r="AR255" s="43">
        <f t="shared" si="532"/>
        <v>0</v>
      </c>
      <c r="AS255" s="43"/>
      <c r="AT255" s="43"/>
      <c r="AU255" s="43">
        <f t="shared" si="623"/>
        <v>0</v>
      </c>
      <c r="AV255" s="43">
        <f t="shared" si="623"/>
        <v>0</v>
      </c>
      <c r="AW255" s="43"/>
      <c r="AX255" s="43"/>
      <c r="AY255" s="43">
        <f t="shared" si="520"/>
        <v>0</v>
      </c>
      <c r="AZ255" s="43">
        <f t="shared" si="520"/>
        <v>0</v>
      </c>
      <c r="BA255" s="43">
        <f t="shared" si="521"/>
        <v>0</v>
      </c>
      <c r="BB255" s="60">
        <v>0</v>
      </c>
      <c r="BC255" s="60"/>
      <c r="BD255" s="60">
        <f t="shared" si="522"/>
        <v>0</v>
      </c>
      <c r="BE255" s="60">
        <f t="shared" si="522"/>
        <v>0</v>
      </c>
      <c r="BF255" s="60">
        <f t="shared" si="523"/>
        <v>0</v>
      </c>
      <c r="BG255" s="60">
        <f t="shared" si="523"/>
        <v>0</v>
      </c>
      <c r="BH255" s="43">
        <v>0</v>
      </c>
      <c r="BI255" s="43">
        <v>0</v>
      </c>
      <c r="BJ255" s="43"/>
      <c r="BK255" s="43"/>
      <c r="BL255" s="43">
        <f t="shared" si="545"/>
        <v>0</v>
      </c>
      <c r="BM255" s="43">
        <f t="shared" si="545"/>
        <v>0</v>
      </c>
      <c r="BN255" s="43">
        <f t="shared" si="573"/>
        <v>0</v>
      </c>
      <c r="BO255" s="43">
        <v>0</v>
      </c>
      <c r="BP255" s="93"/>
      <c r="BQ255" s="43">
        <f t="shared" si="549"/>
        <v>0</v>
      </c>
      <c r="BR255" s="43">
        <f t="shared" si="549"/>
        <v>0</v>
      </c>
      <c r="BS255" s="43">
        <f t="shared" si="550"/>
        <v>0</v>
      </c>
      <c r="BT255" s="43">
        <f t="shared" si="550"/>
        <v>0</v>
      </c>
      <c r="BU255" s="43">
        <f t="shared" si="583"/>
        <v>0</v>
      </c>
      <c r="BV255" s="43">
        <v>0</v>
      </c>
      <c r="BW255" s="43"/>
      <c r="BX255" s="43"/>
      <c r="BY255" s="43"/>
      <c r="BZ255" s="43"/>
      <c r="CA255" s="43">
        <v>0</v>
      </c>
      <c r="CB255" s="43">
        <v>0</v>
      </c>
      <c r="CC255" s="92">
        <v>0</v>
      </c>
      <c r="CD255" s="92">
        <v>0</v>
      </c>
      <c r="CE255" s="92">
        <v>0</v>
      </c>
      <c r="CF255" s="92">
        <v>0</v>
      </c>
      <c r="CG255" s="92">
        <f t="shared" si="551"/>
        <v>0</v>
      </c>
      <c r="CH255" s="92">
        <f t="shared" si="551"/>
        <v>0</v>
      </c>
      <c r="CI255" s="43"/>
      <c r="CJ255" s="43"/>
      <c r="CK255" s="43">
        <v>0</v>
      </c>
      <c r="CL255" s="43">
        <v>0</v>
      </c>
      <c r="CM255" s="43"/>
      <c r="CN255" s="43"/>
      <c r="CO255" s="43"/>
      <c r="CP255" s="43"/>
      <c r="CQ255" s="43">
        <f t="shared" si="552"/>
        <v>0</v>
      </c>
      <c r="CR255" s="43">
        <f t="shared" si="552"/>
        <v>0</v>
      </c>
      <c r="CS255" s="43">
        <f t="shared" si="553"/>
        <v>0</v>
      </c>
      <c r="CT255" s="43">
        <f t="shared" si="553"/>
        <v>0</v>
      </c>
      <c r="CU255" s="43">
        <f t="shared" si="553"/>
        <v>0</v>
      </c>
      <c r="CV255" s="43">
        <f t="shared" si="553"/>
        <v>0</v>
      </c>
      <c r="CW255" s="43">
        <f t="shared" si="554"/>
        <v>0</v>
      </c>
      <c r="CX255" s="43">
        <f t="shared" si="554"/>
        <v>0</v>
      </c>
      <c r="CY255" s="43"/>
      <c r="CZ255" s="43"/>
      <c r="DA255" s="43">
        <f t="shared" si="555"/>
        <v>0</v>
      </c>
      <c r="DB255" s="43">
        <f t="shared" si="555"/>
        <v>0</v>
      </c>
      <c r="DC255" s="43">
        <v>0</v>
      </c>
      <c r="DD255" s="43">
        <v>0</v>
      </c>
      <c r="DE255" s="43">
        <f t="shared" si="556"/>
        <v>0</v>
      </c>
      <c r="DF255" s="43">
        <f t="shared" si="556"/>
        <v>0</v>
      </c>
      <c r="DG255" s="43">
        <f>ROUND(0.25*(MIN(CU255,EW255)),2)</f>
        <v>0</v>
      </c>
      <c r="DH255" s="43">
        <f>ROUND(0.25*(MIN(CV255,EX255)),2)</f>
        <v>0</v>
      </c>
      <c r="DI255" s="43">
        <f>+DG255-DE255</f>
        <v>0</v>
      </c>
      <c r="DJ255" s="43">
        <f>+DH255-DF255</f>
        <v>0</v>
      </c>
      <c r="DK255" s="43"/>
      <c r="DL255" s="43"/>
      <c r="DM255" s="43">
        <f t="shared" si="558"/>
        <v>0</v>
      </c>
      <c r="DN255" s="43">
        <f t="shared" si="558"/>
        <v>0</v>
      </c>
      <c r="DO255" s="94">
        <v>0</v>
      </c>
      <c r="DP255" s="95">
        <v>0</v>
      </c>
      <c r="DQ255" s="60">
        <f t="shared" si="559"/>
        <v>0</v>
      </c>
      <c r="DR255" s="60">
        <f t="shared" si="559"/>
        <v>0</v>
      </c>
      <c r="DS255" s="60">
        <f t="shared" si="560"/>
        <v>0</v>
      </c>
      <c r="DT255" s="60">
        <f t="shared" si="560"/>
        <v>0</v>
      </c>
      <c r="DU255" s="60">
        <f t="shared" si="561"/>
        <v>0</v>
      </c>
      <c r="DV255" s="60">
        <f t="shared" si="561"/>
        <v>0</v>
      </c>
      <c r="DW255" s="60"/>
      <c r="DX255" s="60"/>
      <c r="DY255" s="60">
        <f t="shared" si="701"/>
        <v>0</v>
      </c>
      <c r="DZ255" s="60">
        <f t="shared" si="701"/>
        <v>0</v>
      </c>
      <c r="EA255" s="60"/>
      <c r="EB255" s="60"/>
      <c r="EC255" s="43">
        <f t="shared" si="562"/>
        <v>0</v>
      </c>
      <c r="ED255" s="43">
        <f t="shared" si="562"/>
        <v>0</v>
      </c>
      <c r="EE255" s="43"/>
      <c r="EF255" s="43"/>
      <c r="EG255" s="43" t="e">
        <f t="shared" si="607"/>
        <v>#DIV/0!</v>
      </c>
      <c r="EH255" s="43" t="e">
        <f t="shared" si="607"/>
        <v>#DIV/0!</v>
      </c>
      <c r="EI255" s="43">
        <f t="shared" si="563"/>
        <v>0</v>
      </c>
      <c r="EJ255" s="43">
        <f t="shared" si="563"/>
        <v>0</v>
      </c>
      <c r="EK255" s="43">
        <f t="shared" si="564"/>
        <v>0</v>
      </c>
      <c r="EL255" s="43">
        <f t="shared" si="564"/>
        <v>0</v>
      </c>
      <c r="EM255" s="43">
        <f t="shared" si="565"/>
        <v>0</v>
      </c>
      <c r="EN255" s="43">
        <f t="shared" si="565"/>
        <v>0</v>
      </c>
      <c r="EO255" s="43">
        <v>0</v>
      </c>
      <c r="EP255" s="43">
        <v>0</v>
      </c>
      <c r="EQ255" s="5"/>
      <c r="ER255" s="5"/>
      <c r="ES255" s="5"/>
      <c r="ET255" s="5"/>
      <c r="EU255" s="5">
        <f t="shared" si="642"/>
        <v>0</v>
      </c>
      <c r="EV255" s="5">
        <f t="shared" si="642"/>
        <v>0</v>
      </c>
      <c r="EW255" s="5">
        <v>0</v>
      </c>
      <c r="EX255" s="5">
        <v>0</v>
      </c>
      <c r="EY255" s="5">
        <v>0</v>
      </c>
      <c r="EZ255" s="5">
        <v>0</v>
      </c>
    </row>
    <row r="256" spans="1:156" ht="18.75" x14ac:dyDescent="0.25">
      <c r="A256" s="68"/>
      <c r="B256" s="68" t="s">
        <v>521</v>
      </c>
      <c r="C256" s="91" t="s">
        <v>102</v>
      </c>
      <c r="D256" s="67" t="s">
        <v>519</v>
      </c>
      <c r="E256" s="69" t="s">
        <v>522</v>
      </c>
      <c r="F256" s="123">
        <v>1865.8600000000001</v>
      </c>
      <c r="G256" s="123">
        <v>460.61000000000007</v>
      </c>
      <c r="H256" s="123">
        <v>1865.8600000000001</v>
      </c>
      <c r="I256" s="123">
        <v>390.61000000000007</v>
      </c>
      <c r="J256" s="124">
        <f t="shared" ref="J256:AA256" si="709">+J254+J255</f>
        <v>2000</v>
      </c>
      <c r="K256" s="124">
        <f t="shared" si="709"/>
        <v>0</v>
      </c>
      <c r="L256" s="124">
        <f t="shared" si="709"/>
        <v>0.3</v>
      </c>
      <c r="M256" s="124">
        <f t="shared" si="709"/>
        <v>2000.3</v>
      </c>
      <c r="N256" s="124">
        <f t="shared" si="709"/>
        <v>0</v>
      </c>
      <c r="O256" s="124">
        <f t="shared" si="709"/>
        <v>0</v>
      </c>
      <c r="P256" s="124">
        <f t="shared" si="709"/>
        <v>0</v>
      </c>
      <c r="Q256" s="124">
        <f t="shared" si="709"/>
        <v>0</v>
      </c>
      <c r="R256" s="124">
        <f t="shared" si="709"/>
        <v>2000.3</v>
      </c>
      <c r="S256" s="124">
        <f t="shared" si="709"/>
        <v>240</v>
      </c>
      <c r="T256" s="124">
        <f t="shared" si="709"/>
        <v>0</v>
      </c>
      <c r="U256" s="124">
        <f t="shared" si="709"/>
        <v>0</v>
      </c>
      <c r="V256" s="124">
        <f t="shared" si="709"/>
        <v>1974.64</v>
      </c>
      <c r="W256" s="124">
        <f t="shared" si="709"/>
        <v>403.38</v>
      </c>
      <c r="X256" s="124">
        <f t="shared" si="709"/>
        <v>25.659999999999854</v>
      </c>
      <c r="Y256" s="124">
        <f t="shared" si="709"/>
        <v>-163.38</v>
      </c>
      <c r="Z256" s="124">
        <f t="shared" si="709"/>
        <v>1974.64</v>
      </c>
      <c r="AA256" s="124">
        <f t="shared" si="709"/>
        <v>0</v>
      </c>
      <c r="AB256" s="123">
        <f t="shared" si="547"/>
        <v>1974.64</v>
      </c>
      <c r="AC256" s="43">
        <f t="shared" si="548"/>
        <v>0</v>
      </c>
      <c r="AD256" s="123">
        <f t="shared" ref="AD256:BY256" si="710">+AD254+AD255</f>
        <v>1974.64</v>
      </c>
      <c r="AE256" s="123">
        <f t="shared" si="710"/>
        <v>240</v>
      </c>
      <c r="AF256" s="123">
        <f t="shared" si="710"/>
        <v>216.53</v>
      </c>
      <c r="AG256" s="123">
        <f t="shared" si="710"/>
        <v>494</v>
      </c>
      <c r="AH256" s="123">
        <f t="shared" si="710"/>
        <v>60</v>
      </c>
      <c r="AI256" s="125">
        <f t="shared" si="710"/>
        <v>165</v>
      </c>
      <c r="AJ256" s="123">
        <f t="shared" si="710"/>
        <v>20</v>
      </c>
      <c r="AK256" s="123">
        <f t="shared" si="710"/>
        <v>0</v>
      </c>
      <c r="AL256" s="123">
        <f t="shared" si="710"/>
        <v>100</v>
      </c>
      <c r="AM256" s="123">
        <f t="shared" si="710"/>
        <v>493.66</v>
      </c>
      <c r="AN256" s="123">
        <f t="shared" si="710"/>
        <v>50</v>
      </c>
      <c r="AO256" s="123">
        <f t="shared" si="710"/>
        <v>0</v>
      </c>
      <c r="AP256" s="123">
        <f t="shared" si="710"/>
        <v>0</v>
      </c>
      <c r="AQ256" s="123">
        <f t="shared" si="710"/>
        <v>987.66000000000008</v>
      </c>
      <c r="AR256" s="123">
        <f t="shared" si="710"/>
        <v>210</v>
      </c>
      <c r="AS256" s="123">
        <f t="shared" si="710"/>
        <v>0</v>
      </c>
      <c r="AT256" s="123">
        <f t="shared" si="710"/>
        <v>0</v>
      </c>
      <c r="AU256" s="123">
        <f t="shared" si="710"/>
        <v>493.66</v>
      </c>
      <c r="AV256" s="123">
        <f t="shared" si="710"/>
        <v>0</v>
      </c>
      <c r="AW256" s="123">
        <f t="shared" si="710"/>
        <v>0</v>
      </c>
      <c r="AX256" s="123">
        <f t="shared" si="710"/>
        <v>0</v>
      </c>
      <c r="AY256" s="123">
        <f t="shared" si="710"/>
        <v>1646.3200000000002</v>
      </c>
      <c r="AZ256" s="123">
        <f t="shared" si="710"/>
        <v>230</v>
      </c>
      <c r="BA256" s="123">
        <f t="shared" si="710"/>
        <v>1876.3200000000002</v>
      </c>
      <c r="BB256" s="123">
        <f t="shared" si="710"/>
        <v>1566.73</v>
      </c>
      <c r="BC256" s="123">
        <f t="shared" si="710"/>
        <v>222.73</v>
      </c>
      <c r="BD256" s="123">
        <f t="shared" si="710"/>
        <v>79.590000000000146</v>
      </c>
      <c r="BE256" s="123">
        <f t="shared" si="710"/>
        <v>7.2700000000000102</v>
      </c>
      <c r="BF256" s="123">
        <f t="shared" si="710"/>
        <v>313.35000000000002</v>
      </c>
      <c r="BG256" s="125">
        <f t="shared" si="710"/>
        <v>44.55</v>
      </c>
      <c r="BH256" s="125">
        <f t="shared" si="710"/>
        <v>117.89</v>
      </c>
      <c r="BI256" s="125">
        <f t="shared" si="710"/>
        <v>14.5</v>
      </c>
      <c r="BJ256" s="125">
        <f t="shared" si="710"/>
        <v>0</v>
      </c>
      <c r="BK256" s="125">
        <f t="shared" si="710"/>
        <v>0</v>
      </c>
      <c r="BL256" s="125">
        <f t="shared" si="710"/>
        <v>1764.2100000000003</v>
      </c>
      <c r="BM256" s="125">
        <f t="shared" si="710"/>
        <v>244.5</v>
      </c>
      <c r="BN256" s="125">
        <f t="shared" si="710"/>
        <v>2008.7100000000003</v>
      </c>
      <c r="BO256" s="125">
        <f t="shared" si="710"/>
        <v>1724.84</v>
      </c>
      <c r="BP256" s="125">
        <f t="shared" si="710"/>
        <v>228.54</v>
      </c>
      <c r="BQ256" s="123">
        <f t="shared" si="710"/>
        <v>39.370000000000346</v>
      </c>
      <c r="BR256" s="123">
        <f t="shared" si="710"/>
        <v>15.960000000000008</v>
      </c>
      <c r="BS256" s="123">
        <f t="shared" si="710"/>
        <v>156.80000000000001</v>
      </c>
      <c r="BT256" s="123">
        <f t="shared" si="710"/>
        <v>20.78</v>
      </c>
      <c r="BU256" s="123">
        <f t="shared" si="710"/>
        <v>122.89</v>
      </c>
      <c r="BV256" s="123">
        <f t="shared" si="710"/>
        <v>14.5</v>
      </c>
      <c r="BW256" s="123">
        <f t="shared" si="710"/>
        <v>0</v>
      </c>
      <c r="BX256" s="123">
        <f t="shared" si="710"/>
        <v>0</v>
      </c>
      <c r="BY256" s="123">
        <f t="shared" si="710"/>
        <v>0</v>
      </c>
      <c r="BZ256" s="123">
        <f>+BZ254+BZ255</f>
        <v>0</v>
      </c>
      <c r="CA256" s="123">
        <f t="shared" ref="CA256:EL256" si="711">+CA254+CA255</f>
        <v>1887.1000000000004</v>
      </c>
      <c r="CB256" s="123">
        <f t="shared" si="711"/>
        <v>259</v>
      </c>
      <c r="CC256" s="123">
        <f t="shared" si="711"/>
        <v>2075.81</v>
      </c>
      <c r="CD256" s="123">
        <f t="shared" si="711"/>
        <v>297.85000000000002</v>
      </c>
      <c r="CE256" s="123">
        <f t="shared" si="711"/>
        <v>173</v>
      </c>
      <c r="CF256" s="123">
        <f t="shared" si="711"/>
        <v>25</v>
      </c>
      <c r="CG256" s="123">
        <f t="shared" si="711"/>
        <v>471.78</v>
      </c>
      <c r="CH256" s="125">
        <f t="shared" si="711"/>
        <v>64.75</v>
      </c>
      <c r="CI256" s="123">
        <f t="shared" si="711"/>
        <v>0</v>
      </c>
      <c r="CJ256" s="123">
        <f t="shared" si="711"/>
        <v>0</v>
      </c>
      <c r="CK256" s="123">
        <f t="shared" si="711"/>
        <v>522.5</v>
      </c>
      <c r="CL256" s="123">
        <f t="shared" si="711"/>
        <v>80</v>
      </c>
      <c r="CM256" s="123">
        <f t="shared" si="711"/>
        <v>50</v>
      </c>
      <c r="CN256" s="123">
        <f t="shared" si="711"/>
        <v>193.7</v>
      </c>
      <c r="CO256" s="123">
        <f t="shared" si="711"/>
        <v>1975.1</v>
      </c>
      <c r="CP256" s="123">
        <f t="shared" si="711"/>
        <v>615</v>
      </c>
      <c r="CQ256" s="123">
        <f t="shared" si="711"/>
        <v>2090</v>
      </c>
      <c r="CR256" s="123">
        <f t="shared" si="711"/>
        <v>320</v>
      </c>
      <c r="CS256" s="123">
        <f t="shared" si="711"/>
        <v>1975.1</v>
      </c>
      <c r="CT256" s="123">
        <f t="shared" si="711"/>
        <v>320</v>
      </c>
      <c r="CU256" s="123">
        <f t="shared" si="711"/>
        <v>1975.1</v>
      </c>
      <c r="CV256" s="123">
        <f t="shared" si="711"/>
        <v>448.91999999999996</v>
      </c>
      <c r="CW256" s="123">
        <f t="shared" si="711"/>
        <v>493.78</v>
      </c>
      <c r="CX256" s="123">
        <f t="shared" si="711"/>
        <v>0</v>
      </c>
      <c r="CY256" s="123">
        <f t="shared" si="711"/>
        <v>0</v>
      </c>
      <c r="CZ256" s="123">
        <f t="shared" si="711"/>
        <v>88.83</v>
      </c>
      <c r="DA256" s="123">
        <f t="shared" si="711"/>
        <v>1239.28</v>
      </c>
      <c r="DB256" s="123">
        <f t="shared" si="711"/>
        <v>387.53</v>
      </c>
      <c r="DC256" s="123">
        <f t="shared" si="711"/>
        <v>1208.73</v>
      </c>
      <c r="DD256" s="123">
        <f t="shared" si="711"/>
        <v>303.5</v>
      </c>
      <c r="DE256" s="123">
        <f t="shared" si="711"/>
        <v>30.549999999999955</v>
      </c>
      <c r="DF256" s="123">
        <f t="shared" si="711"/>
        <v>84.029999999999973</v>
      </c>
      <c r="DG256" s="123">
        <f t="shared" si="711"/>
        <v>493.78</v>
      </c>
      <c r="DH256" s="123">
        <f t="shared" si="711"/>
        <v>80</v>
      </c>
      <c r="DI256" s="123">
        <f t="shared" si="711"/>
        <v>463.23</v>
      </c>
      <c r="DJ256" s="123">
        <f t="shared" si="711"/>
        <v>2.7533531010703882E-14</v>
      </c>
      <c r="DK256" s="123">
        <f t="shared" si="711"/>
        <v>0</v>
      </c>
      <c r="DL256" s="123">
        <f t="shared" si="711"/>
        <v>61.39</v>
      </c>
      <c r="DM256" s="123">
        <f t="shared" si="711"/>
        <v>1702.51</v>
      </c>
      <c r="DN256" s="123">
        <f t="shared" si="711"/>
        <v>448.91999999999996</v>
      </c>
      <c r="DO256" s="123">
        <f t="shared" si="711"/>
        <v>1698.15</v>
      </c>
      <c r="DP256" s="123">
        <f t="shared" si="711"/>
        <v>434.25</v>
      </c>
      <c r="DQ256" s="123">
        <f t="shared" si="711"/>
        <v>4.3600000000000003</v>
      </c>
      <c r="DR256" s="123">
        <f t="shared" si="711"/>
        <v>14.67</v>
      </c>
      <c r="DS256" s="123">
        <f t="shared" si="711"/>
        <v>169.815</v>
      </c>
      <c r="DT256" s="123">
        <f t="shared" si="711"/>
        <v>43.424999999999997</v>
      </c>
      <c r="DU256" s="123">
        <f t="shared" si="711"/>
        <v>165.45499999999998</v>
      </c>
      <c r="DV256" s="123">
        <f t="shared" si="711"/>
        <v>28.754999999999995</v>
      </c>
      <c r="DW256" s="123">
        <f t="shared" si="711"/>
        <v>0</v>
      </c>
      <c r="DX256" s="123">
        <f t="shared" si="711"/>
        <v>0</v>
      </c>
      <c r="DY256" s="123">
        <f t="shared" si="711"/>
        <v>165.46</v>
      </c>
      <c r="DZ256" s="123">
        <f t="shared" si="711"/>
        <v>175</v>
      </c>
      <c r="EA256" s="123">
        <f t="shared" si="711"/>
        <v>0</v>
      </c>
      <c r="EB256" s="125">
        <f t="shared" si="711"/>
        <v>0</v>
      </c>
      <c r="EC256" s="123">
        <f t="shared" si="711"/>
        <v>1867.97</v>
      </c>
      <c r="ED256" s="123">
        <f t="shared" si="711"/>
        <v>623.91999999999996</v>
      </c>
      <c r="EE256" s="123">
        <f t="shared" si="711"/>
        <v>1864.61</v>
      </c>
      <c r="EF256" s="123">
        <f t="shared" si="711"/>
        <v>487.58</v>
      </c>
      <c r="EG256" s="123" t="e">
        <f t="shared" si="711"/>
        <v>#DIV/0!</v>
      </c>
      <c r="EH256" s="123" t="e">
        <f t="shared" si="711"/>
        <v>#DIV/0!</v>
      </c>
      <c r="EI256" s="123">
        <f t="shared" si="711"/>
        <v>3.36</v>
      </c>
      <c r="EJ256" s="123">
        <f t="shared" si="711"/>
        <v>136.34</v>
      </c>
      <c r="EK256" s="123">
        <f t="shared" si="711"/>
        <v>169.51</v>
      </c>
      <c r="EL256" s="123">
        <f t="shared" si="711"/>
        <v>44.33</v>
      </c>
      <c r="EM256" s="123">
        <f t="shared" ref="EM256:EZ256" si="712">+EM254+EM255</f>
        <v>166.14999999999998</v>
      </c>
      <c r="EN256" s="123">
        <f t="shared" si="712"/>
        <v>-92.01</v>
      </c>
      <c r="EO256" s="123">
        <f t="shared" si="712"/>
        <v>207.63</v>
      </c>
      <c r="EP256" s="123">
        <f t="shared" si="712"/>
        <v>60</v>
      </c>
      <c r="EQ256" s="138">
        <f t="shared" si="712"/>
        <v>0</v>
      </c>
      <c r="ER256" s="77">
        <f t="shared" si="712"/>
        <v>0</v>
      </c>
      <c r="ES256" s="77">
        <f t="shared" si="712"/>
        <v>0</v>
      </c>
      <c r="ET256" s="77">
        <f t="shared" si="712"/>
        <v>241.13</v>
      </c>
      <c r="EU256" s="5">
        <f t="shared" si="642"/>
        <v>-80.500000000000114</v>
      </c>
      <c r="EV256" s="5">
        <f t="shared" si="642"/>
        <v>-68.919999999999959</v>
      </c>
      <c r="EW256" s="77">
        <f t="shared" si="712"/>
        <v>1995.1</v>
      </c>
      <c r="EX256" s="77">
        <f t="shared" si="712"/>
        <v>615</v>
      </c>
      <c r="EY256" s="77">
        <f t="shared" si="712"/>
        <v>1978.1</v>
      </c>
      <c r="EZ256" s="77">
        <f t="shared" si="712"/>
        <v>320</v>
      </c>
    </row>
    <row r="257" spans="1:161" ht="18.75" x14ac:dyDescent="0.25">
      <c r="A257" s="37">
        <v>15</v>
      </c>
      <c r="B257" s="37"/>
      <c r="C257" s="91" t="s">
        <v>132</v>
      </c>
      <c r="D257" s="38" t="s">
        <v>523</v>
      </c>
      <c r="E257" s="39"/>
      <c r="F257" s="40">
        <v>1239.5700000000002</v>
      </c>
      <c r="G257" s="40">
        <v>162.1</v>
      </c>
      <c r="H257" s="40">
        <v>1249.5700000000002</v>
      </c>
      <c r="I257" s="40">
        <v>227.1</v>
      </c>
      <c r="J257" s="41">
        <v>1500</v>
      </c>
      <c r="K257" s="41"/>
      <c r="L257" s="41"/>
      <c r="M257" s="41">
        <f t="shared" si="684"/>
        <v>1500</v>
      </c>
      <c r="N257" s="41"/>
      <c r="O257" s="41"/>
      <c r="P257" s="41"/>
      <c r="Q257" s="41">
        <f t="shared" ref="Q257:Q259" si="713">N257+O257+P257</f>
        <v>0</v>
      </c>
      <c r="R257" s="41">
        <f t="shared" si="686"/>
        <v>1500</v>
      </c>
      <c r="S257" s="41">
        <v>300</v>
      </c>
      <c r="T257" s="92"/>
      <c r="U257" s="92"/>
      <c r="V257" s="40">
        <f t="shared" ref="V257:V259" si="714">ROUND(H257*1.0583,2)</f>
        <v>1322.42</v>
      </c>
      <c r="W257" s="40">
        <f t="shared" ref="W257:W259" si="715">ROUND(I257*1.0327,2)</f>
        <v>234.53</v>
      </c>
      <c r="X257" s="43">
        <f t="shared" ref="X257:Y309" si="716">R257-V257</f>
        <v>177.57999999999993</v>
      </c>
      <c r="Y257" s="43">
        <f t="shared" si="716"/>
        <v>65.47</v>
      </c>
      <c r="Z257" s="43">
        <v>1322.42</v>
      </c>
      <c r="AA257" s="43"/>
      <c r="AB257" s="43">
        <f t="shared" si="547"/>
        <v>1322.42</v>
      </c>
      <c r="AC257" s="43">
        <f t="shared" si="548"/>
        <v>0</v>
      </c>
      <c r="AD257" s="43">
        <f t="shared" ref="AD257:AE259" si="717">IF(X257&gt;0,V257,R257)</f>
        <v>1322.42</v>
      </c>
      <c r="AE257" s="43">
        <f t="shared" si="717"/>
        <v>234.53</v>
      </c>
      <c r="AF257" s="43">
        <f t="shared" ref="AF257:AF309" si="718">ROUND(S257*0.9022,2)</f>
        <v>270.66000000000003</v>
      </c>
      <c r="AG257" s="43">
        <f t="shared" ref="AG257:AH309" si="719">ROUND(AD257/4,0)</f>
        <v>331</v>
      </c>
      <c r="AH257" s="43">
        <f t="shared" si="719"/>
        <v>59</v>
      </c>
      <c r="AI257" s="93">
        <f t="shared" ref="AI257:AJ309" si="720">ROUND(AD257/12,0)</f>
        <v>110</v>
      </c>
      <c r="AJ257" s="43">
        <f t="shared" si="720"/>
        <v>20</v>
      </c>
      <c r="AK257" s="43"/>
      <c r="AL257" s="43"/>
      <c r="AM257" s="43">
        <f t="shared" ref="AM257:AM309" si="721">ROUND(AD257*25%,2)</f>
        <v>330.61</v>
      </c>
      <c r="AN257" s="43">
        <f t="shared" ref="AN257:AN309" si="722">ROUND(AE257*24.35%,2)</f>
        <v>57.11</v>
      </c>
      <c r="AO257" s="43"/>
      <c r="AP257" s="43"/>
      <c r="AQ257" s="43">
        <f t="shared" ref="AQ257:AR309" si="723">+AM257+AK257+AG257+AO257</f>
        <v>661.61</v>
      </c>
      <c r="AR257" s="43">
        <f t="shared" si="723"/>
        <v>116.11</v>
      </c>
      <c r="AS257" s="43"/>
      <c r="AT257" s="43"/>
      <c r="AU257" s="43">
        <f t="shared" si="623"/>
        <v>330.61</v>
      </c>
      <c r="AV257" s="43">
        <f t="shared" si="623"/>
        <v>58.63</v>
      </c>
      <c r="AW257" s="43"/>
      <c r="AX257" s="43">
        <v>136.53</v>
      </c>
      <c r="AY257" s="43">
        <f t="shared" ref="AY257:AZ309" si="724">+AQ257+AS257+AU257+AW257+AI257</f>
        <v>1102.22</v>
      </c>
      <c r="AZ257" s="43">
        <f t="shared" si="724"/>
        <v>331.27</v>
      </c>
      <c r="BA257" s="43">
        <f t="shared" ref="BA257:BA309" si="725">+AY257+AZ257</f>
        <v>1433.49</v>
      </c>
      <c r="BB257" s="60">
        <v>1078.8599999999999</v>
      </c>
      <c r="BC257" s="60">
        <v>316.68</v>
      </c>
      <c r="BD257" s="60">
        <f t="shared" ref="BD257:BE309" si="726">AY257-BB257</f>
        <v>23.360000000000127</v>
      </c>
      <c r="BE257" s="60">
        <f t="shared" si="726"/>
        <v>14.589999999999975</v>
      </c>
      <c r="BF257" s="60">
        <f t="shared" ref="BF257:BG309" si="727">ROUND(BB257/10*2,2)</f>
        <v>215.77</v>
      </c>
      <c r="BG257" s="60">
        <f t="shared" si="727"/>
        <v>63.34</v>
      </c>
      <c r="BH257" s="43">
        <v>96.21</v>
      </c>
      <c r="BI257" s="43">
        <v>0</v>
      </c>
      <c r="BJ257" s="43"/>
      <c r="BK257" s="43"/>
      <c r="BL257" s="43">
        <f t="shared" si="545"/>
        <v>1198.43</v>
      </c>
      <c r="BM257" s="43">
        <f t="shared" si="545"/>
        <v>331.27</v>
      </c>
      <c r="BN257" s="43">
        <f t="shared" si="573"/>
        <v>1529.7</v>
      </c>
      <c r="BO257" s="43">
        <v>1180.77</v>
      </c>
      <c r="BP257" s="93">
        <v>320.69</v>
      </c>
      <c r="BQ257" s="43">
        <f t="shared" si="549"/>
        <v>17.660000000000082</v>
      </c>
      <c r="BR257" s="43">
        <f t="shared" si="549"/>
        <v>10.579999999999984</v>
      </c>
      <c r="BS257" s="43">
        <f t="shared" si="550"/>
        <v>107.34</v>
      </c>
      <c r="BT257" s="43">
        <f t="shared" si="550"/>
        <v>29.15</v>
      </c>
      <c r="BU257" s="43">
        <v>89.68</v>
      </c>
      <c r="BV257" s="43">
        <v>0</v>
      </c>
      <c r="BW257" s="43">
        <v>20</v>
      </c>
      <c r="BX257" s="43">
        <v>40</v>
      </c>
      <c r="BY257" s="43"/>
      <c r="BZ257" s="43"/>
      <c r="CA257" s="43">
        <v>1308.1100000000001</v>
      </c>
      <c r="CB257" s="43">
        <v>371.27</v>
      </c>
      <c r="CC257" s="92">
        <v>1438.92</v>
      </c>
      <c r="CD257" s="92">
        <v>426.96</v>
      </c>
      <c r="CE257" s="92">
        <v>120</v>
      </c>
      <c r="CF257" s="92">
        <v>36</v>
      </c>
      <c r="CG257" s="92">
        <f t="shared" si="551"/>
        <v>327.02999999999997</v>
      </c>
      <c r="CH257" s="92">
        <f t="shared" si="551"/>
        <v>92.82</v>
      </c>
      <c r="CI257" s="43"/>
      <c r="CJ257" s="43"/>
      <c r="CK257" s="43">
        <v>350</v>
      </c>
      <c r="CL257" s="43">
        <v>75</v>
      </c>
      <c r="CM257" s="43"/>
      <c r="CN257" s="43"/>
      <c r="CO257" s="43">
        <v>1520.98</v>
      </c>
      <c r="CP257" s="43">
        <v>269.7</v>
      </c>
      <c r="CQ257" s="43">
        <f t="shared" si="552"/>
        <v>1400</v>
      </c>
      <c r="CR257" s="43">
        <f t="shared" si="552"/>
        <v>300</v>
      </c>
      <c r="CS257" s="43">
        <f t="shared" si="553"/>
        <v>1400</v>
      </c>
      <c r="CT257" s="43">
        <f t="shared" si="553"/>
        <v>269.7</v>
      </c>
      <c r="CU257" s="43">
        <f t="shared" si="553"/>
        <v>1400</v>
      </c>
      <c r="CV257" s="43">
        <f t="shared" si="553"/>
        <v>269.7</v>
      </c>
      <c r="CW257" s="43">
        <f t="shared" si="554"/>
        <v>350</v>
      </c>
      <c r="CX257" s="43">
        <f>ROUND(CV257*25%,2)-30</f>
        <v>37.430000000000007</v>
      </c>
      <c r="CY257" s="43"/>
      <c r="CZ257" s="43"/>
      <c r="DA257" s="43">
        <f t="shared" si="555"/>
        <v>820</v>
      </c>
      <c r="DB257" s="43">
        <f t="shared" si="555"/>
        <v>148.43</v>
      </c>
      <c r="DC257" s="43">
        <v>758.13</v>
      </c>
      <c r="DD257" s="43">
        <v>128.66999999999999</v>
      </c>
      <c r="DE257" s="43">
        <f t="shared" si="556"/>
        <v>61.870000000000005</v>
      </c>
      <c r="DF257" s="43">
        <f t="shared" si="556"/>
        <v>19.760000000000019</v>
      </c>
      <c r="DG257" s="43">
        <f t="shared" ref="DG257:DH259" si="728">ROUND(0.25*(MIN(CU257,EW257)),2)</f>
        <v>350</v>
      </c>
      <c r="DH257" s="43">
        <f t="shared" si="728"/>
        <v>67.430000000000007</v>
      </c>
      <c r="DI257" s="43">
        <f t="shared" ref="DI257:DI259" si="729">+DG257-DE257</f>
        <v>288.13</v>
      </c>
      <c r="DJ257" s="43">
        <f>+DH257-DF257</f>
        <v>47.669999999999987</v>
      </c>
      <c r="DK257" s="43">
        <v>20</v>
      </c>
      <c r="DL257" s="43"/>
      <c r="DM257" s="43">
        <f t="shared" si="558"/>
        <v>1128.1300000000001</v>
      </c>
      <c r="DN257" s="43">
        <f t="shared" si="558"/>
        <v>196.1</v>
      </c>
      <c r="DO257" s="94">
        <v>1124.25</v>
      </c>
      <c r="DP257" s="95">
        <v>191.63</v>
      </c>
      <c r="DQ257" s="60">
        <f t="shared" si="559"/>
        <v>3.88</v>
      </c>
      <c r="DR257" s="60">
        <f t="shared" si="559"/>
        <v>4.47</v>
      </c>
      <c r="DS257" s="60">
        <f t="shared" si="560"/>
        <v>112.425</v>
      </c>
      <c r="DT257" s="60">
        <f t="shared" si="560"/>
        <v>19.163</v>
      </c>
      <c r="DU257" s="60">
        <f t="shared" si="561"/>
        <v>108.545</v>
      </c>
      <c r="DV257" s="60">
        <f t="shared" si="561"/>
        <v>14.693000000000001</v>
      </c>
      <c r="DW257" s="60"/>
      <c r="DX257" s="60"/>
      <c r="DY257" s="60">
        <f t="shared" si="701"/>
        <v>108.55</v>
      </c>
      <c r="DZ257" s="60">
        <v>70</v>
      </c>
      <c r="EA257" s="60"/>
      <c r="EB257" s="60"/>
      <c r="EC257" s="43">
        <f t="shared" si="562"/>
        <v>1236.68</v>
      </c>
      <c r="ED257" s="43">
        <f t="shared" si="562"/>
        <v>266.10000000000002</v>
      </c>
      <c r="EE257" s="43">
        <v>1235.21</v>
      </c>
      <c r="EF257" s="43">
        <v>221.48</v>
      </c>
      <c r="EG257" s="43">
        <f t="shared" si="607"/>
        <v>99.88</v>
      </c>
      <c r="EH257" s="43">
        <f t="shared" si="607"/>
        <v>83.23</v>
      </c>
      <c r="EI257" s="43">
        <f t="shared" si="563"/>
        <v>1.47</v>
      </c>
      <c r="EJ257" s="43">
        <f t="shared" si="563"/>
        <v>44.62</v>
      </c>
      <c r="EK257" s="43">
        <f t="shared" si="564"/>
        <v>112.29</v>
      </c>
      <c r="EL257" s="43">
        <f t="shared" si="564"/>
        <v>20.13</v>
      </c>
      <c r="EM257" s="43">
        <f t="shared" si="565"/>
        <v>110.82000000000001</v>
      </c>
      <c r="EN257" s="43">
        <f t="shared" si="565"/>
        <v>-24.49</v>
      </c>
      <c r="EO257" s="43">
        <v>110</v>
      </c>
      <c r="EP257" s="43">
        <v>0</v>
      </c>
      <c r="EQ257" s="5"/>
      <c r="ER257" s="5"/>
      <c r="ES257" s="5"/>
      <c r="ET257" s="45">
        <v>90</v>
      </c>
      <c r="EU257" s="5">
        <f t="shared" si="642"/>
        <v>129.31999999999994</v>
      </c>
      <c r="EV257" s="5">
        <f t="shared" si="642"/>
        <v>36.729999999999961</v>
      </c>
      <c r="EW257" s="5">
        <v>1476</v>
      </c>
      <c r="EX257" s="5">
        <v>302.83</v>
      </c>
      <c r="EY257" s="5">
        <v>1695</v>
      </c>
      <c r="EZ257" s="5">
        <v>310.16000000000003</v>
      </c>
    </row>
    <row r="258" spans="1:161" ht="18.75" x14ac:dyDescent="0.25">
      <c r="A258" s="37">
        <v>16</v>
      </c>
      <c r="B258" s="37"/>
      <c r="C258" s="91" t="s">
        <v>132</v>
      </c>
      <c r="D258" s="38" t="s">
        <v>524</v>
      </c>
      <c r="E258" s="39"/>
      <c r="F258" s="40">
        <v>0</v>
      </c>
      <c r="G258" s="40">
        <v>0</v>
      </c>
      <c r="H258" s="40">
        <v>0</v>
      </c>
      <c r="I258" s="40">
        <v>0</v>
      </c>
      <c r="J258" s="41"/>
      <c r="K258" s="41"/>
      <c r="L258" s="41"/>
      <c r="M258" s="41">
        <f t="shared" si="684"/>
        <v>0</v>
      </c>
      <c r="N258" s="41"/>
      <c r="O258" s="41"/>
      <c r="P258" s="41"/>
      <c r="Q258" s="41">
        <f t="shared" si="713"/>
        <v>0</v>
      </c>
      <c r="R258" s="41">
        <f t="shared" si="686"/>
        <v>0</v>
      </c>
      <c r="S258" s="41">
        <v>0</v>
      </c>
      <c r="T258" s="92"/>
      <c r="U258" s="92"/>
      <c r="V258" s="40">
        <f t="shared" si="714"/>
        <v>0</v>
      </c>
      <c r="W258" s="40">
        <f t="shared" si="715"/>
        <v>0</v>
      </c>
      <c r="X258" s="43">
        <f t="shared" si="716"/>
        <v>0</v>
      </c>
      <c r="Y258" s="43">
        <f t="shared" si="716"/>
        <v>0</v>
      </c>
      <c r="Z258" s="43">
        <v>0</v>
      </c>
      <c r="AA258" s="43"/>
      <c r="AB258" s="43">
        <f t="shared" si="547"/>
        <v>0</v>
      </c>
      <c r="AC258" s="43">
        <f t="shared" si="548"/>
        <v>0</v>
      </c>
      <c r="AD258" s="43">
        <f t="shared" si="717"/>
        <v>0</v>
      </c>
      <c r="AE258" s="43">
        <f t="shared" si="717"/>
        <v>0</v>
      </c>
      <c r="AF258" s="43">
        <f t="shared" si="718"/>
        <v>0</v>
      </c>
      <c r="AG258" s="43">
        <f t="shared" si="719"/>
        <v>0</v>
      </c>
      <c r="AH258" s="43">
        <f t="shared" si="719"/>
        <v>0</v>
      </c>
      <c r="AI258" s="93">
        <f t="shared" si="720"/>
        <v>0</v>
      </c>
      <c r="AJ258" s="43">
        <f t="shared" si="720"/>
        <v>0</v>
      </c>
      <c r="AK258" s="43"/>
      <c r="AL258" s="43"/>
      <c r="AM258" s="43">
        <f t="shared" si="721"/>
        <v>0</v>
      </c>
      <c r="AN258" s="43">
        <f t="shared" si="722"/>
        <v>0</v>
      </c>
      <c r="AO258" s="43"/>
      <c r="AP258" s="43"/>
      <c r="AQ258" s="43">
        <f t="shared" si="723"/>
        <v>0</v>
      </c>
      <c r="AR258" s="43">
        <f t="shared" si="723"/>
        <v>0</v>
      </c>
      <c r="AS258" s="43"/>
      <c r="AT258" s="43"/>
      <c r="AU258" s="43">
        <f t="shared" si="623"/>
        <v>0</v>
      </c>
      <c r="AV258" s="43">
        <f t="shared" si="623"/>
        <v>0</v>
      </c>
      <c r="AW258" s="43"/>
      <c r="AX258" s="43"/>
      <c r="AY258" s="43">
        <f t="shared" si="724"/>
        <v>0</v>
      </c>
      <c r="AZ258" s="43">
        <f t="shared" si="724"/>
        <v>0</v>
      </c>
      <c r="BA258" s="43">
        <f t="shared" si="725"/>
        <v>0</v>
      </c>
      <c r="BB258" s="60">
        <v>0</v>
      </c>
      <c r="BC258" s="60"/>
      <c r="BD258" s="60">
        <f t="shared" si="726"/>
        <v>0</v>
      </c>
      <c r="BE258" s="60">
        <f t="shared" si="726"/>
        <v>0</v>
      </c>
      <c r="BF258" s="60">
        <f t="shared" si="727"/>
        <v>0</v>
      </c>
      <c r="BG258" s="60">
        <f t="shared" si="727"/>
        <v>0</v>
      </c>
      <c r="BH258" s="43">
        <v>0</v>
      </c>
      <c r="BI258" s="43">
        <v>0</v>
      </c>
      <c r="BJ258" s="43"/>
      <c r="BK258" s="43"/>
      <c r="BL258" s="43">
        <f t="shared" si="545"/>
        <v>0</v>
      </c>
      <c r="BM258" s="43">
        <f t="shared" si="545"/>
        <v>0</v>
      </c>
      <c r="BN258" s="43">
        <f t="shared" si="573"/>
        <v>0</v>
      </c>
      <c r="BO258" s="43">
        <v>0</v>
      </c>
      <c r="BP258" s="93"/>
      <c r="BQ258" s="43">
        <f t="shared" si="549"/>
        <v>0</v>
      </c>
      <c r="BR258" s="43">
        <f t="shared" si="549"/>
        <v>0</v>
      </c>
      <c r="BS258" s="43">
        <f t="shared" si="550"/>
        <v>0</v>
      </c>
      <c r="BT258" s="43">
        <f t="shared" si="550"/>
        <v>0</v>
      </c>
      <c r="BU258" s="43">
        <f t="shared" si="583"/>
        <v>0</v>
      </c>
      <c r="BV258" s="43">
        <v>0</v>
      </c>
      <c r="BW258" s="43"/>
      <c r="BX258" s="43"/>
      <c r="BY258" s="43"/>
      <c r="BZ258" s="43"/>
      <c r="CA258" s="43">
        <v>0</v>
      </c>
      <c r="CB258" s="43">
        <v>0</v>
      </c>
      <c r="CC258" s="92">
        <v>0</v>
      </c>
      <c r="CD258" s="92">
        <v>0</v>
      </c>
      <c r="CE258" s="92">
        <v>0</v>
      </c>
      <c r="CF258" s="92">
        <v>0</v>
      </c>
      <c r="CG258" s="92">
        <f t="shared" si="551"/>
        <v>0</v>
      </c>
      <c r="CH258" s="92">
        <f t="shared" si="551"/>
        <v>0</v>
      </c>
      <c r="CI258" s="43"/>
      <c r="CJ258" s="43"/>
      <c r="CK258" s="43">
        <v>0</v>
      </c>
      <c r="CL258" s="43">
        <v>0</v>
      </c>
      <c r="CM258" s="43"/>
      <c r="CN258" s="43"/>
      <c r="CO258" s="43"/>
      <c r="CP258" s="43"/>
      <c r="CQ258" s="43">
        <f t="shared" si="552"/>
        <v>0</v>
      </c>
      <c r="CR258" s="43">
        <f t="shared" si="552"/>
        <v>0</v>
      </c>
      <c r="CS258" s="43">
        <f t="shared" si="553"/>
        <v>0</v>
      </c>
      <c r="CT258" s="43">
        <f t="shared" si="553"/>
        <v>0</v>
      </c>
      <c r="CU258" s="43">
        <f t="shared" si="553"/>
        <v>0</v>
      </c>
      <c r="CV258" s="43">
        <f t="shared" si="553"/>
        <v>0</v>
      </c>
      <c r="CW258" s="43">
        <f t="shared" si="554"/>
        <v>0</v>
      </c>
      <c r="CX258" s="43">
        <f t="shared" si="554"/>
        <v>0</v>
      </c>
      <c r="CY258" s="43"/>
      <c r="CZ258" s="43"/>
      <c r="DA258" s="43">
        <f t="shared" si="555"/>
        <v>0</v>
      </c>
      <c r="DB258" s="43">
        <f t="shared" si="555"/>
        <v>0</v>
      </c>
      <c r="DC258" s="43">
        <v>0</v>
      </c>
      <c r="DD258" s="43">
        <v>0</v>
      </c>
      <c r="DE258" s="43">
        <f t="shared" si="556"/>
        <v>0</v>
      </c>
      <c r="DF258" s="43">
        <f t="shared" si="556"/>
        <v>0</v>
      </c>
      <c r="DG258" s="43">
        <f t="shared" si="728"/>
        <v>0</v>
      </c>
      <c r="DH258" s="43">
        <f t="shared" si="728"/>
        <v>0</v>
      </c>
      <c r="DI258" s="43">
        <f t="shared" si="729"/>
        <v>0</v>
      </c>
      <c r="DJ258" s="43">
        <f>+DH258-DF258</f>
        <v>0</v>
      </c>
      <c r="DK258" s="43"/>
      <c r="DL258" s="43"/>
      <c r="DM258" s="43">
        <f t="shared" si="558"/>
        <v>0</v>
      </c>
      <c r="DN258" s="43">
        <f t="shared" si="558"/>
        <v>0</v>
      </c>
      <c r="DO258" s="115">
        <v>0</v>
      </c>
      <c r="DP258" s="114">
        <v>0</v>
      </c>
      <c r="DQ258" s="60">
        <f t="shared" si="559"/>
        <v>0</v>
      </c>
      <c r="DR258" s="60">
        <f t="shared" si="559"/>
        <v>0</v>
      </c>
      <c r="DS258" s="60">
        <f t="shared" si="560"/>
        <v>0</v>
      </c>
      <c r="DT258" s="60">
        <f t="shared" si="560"/>
        <v>0</v>
      </c>
      <c r="DU258" s="60">
        <f t="shared" si="561"/>
        <v>0</v>
      </c>
      <c r="DV258" s="60">
        <f t="shared" si="561"/>
        <v>0</v>
      </c>
      <c r="DW258" s="60"/>
      <c r="DX258" s="60"/>
      <c r="DY258" s="60">
        <f t="shared" si="701"/>
        <v>0</v>
      </c>
      <c r="DZ258" s="60">
        <f t="shared" si="701"/>
        <v>0</v>
      </c>
      <c r="EA258" s="60"/>
      <c r="EB258" s="60"/>
      <c r="EC258" s="43">
        <f t="shared" si="562"/>
        <v>0</v>
      </c>
      <c r="ED258" s="43">
        <f t="shared" si="562"/>
        <v>0</v>
      </c>
      <c r="EE258" s="43">
        <v>0</v>
      </c>
      <c r="EF258" s="43">
        <v>0</v>
      </c>
      <c r="EG258" s="43" t="e">
        <f t="shared" si="607"/>
        <v>#DIV/0!</v>
      </c>
      <c r="EH258" s="43" t="e">
        <f t="shared" si="607"/>
        <v>#DIV/0!</v>
      </c>
      <c r="EI258" s="43">
        <f t="shared" si="563"/>
        <v>0</v>
      </c>
      <c r="EJ258" s="43">
        <f t="shared" si="563"/>
        <v>0</v>
      </c>
      <c r="EK258" s="43">
        <f t="shared" si="564"/>
        <v>0</v>
      </c>
      <c r="EL258" s="43">
        <f t="shared" si="564"/>
        <v>0</v>
      </c>
      <c r="EM258" s="43">
        <f t="shared" si="565"/>
        <v>0</v>
      </c>
      <c r="EN258" s="43">
        <f t="shared" si="565"/>
        <v>0</v>
      </c>
      <c r="EO258" s="43">
        <v>0</v>
      </c>
      <c r="EP258" s="43">
        <v>0</v>
      </c>
      <c r="EQ258" s="5"/>
      <c r="ER258" s="5"/>
      <c r="ES258" s="5"/>
      <c r="ET258" s="5"/>
      <c r="EU258" s="5">
        <f t="shared" si="642"/>
        <v>0</v>
      </c>
      <c r="EV258" s="5">
        <f t="shared" si="642"/>
        <v>0</v>
      </c>
      <c r="EW258" s="5">
        <v>0</v>
      </c>
      <c r="EX258" s="5">
        <v>0</v>
      </c>
      <c r="EY258" s="5">
        <v>0</v>
      </c>
      <c r="EZ258" s="5">
        <v>0</v>
      </c>
    </row>
    <row r="259" spans="1:161" ht="18.75" x14ac:dyDescent="0.25">
      <c r="A259" s="37">
        <v>17</v>
      </c>
      <c r="B259" s="37"/>
      <c r="C259" s="91" t="s">
        <v>132</v>
      </c>
      <c r="D259" s="38" t="s">
        <v>525</v>
      </c>
      <c r="E259" s="39"/>
      <c r="F259" s="40">
        <v>0</v>
      </c>
      <c r="G259" s="40">
        <v>0</v>
      </c>
      <c r="H259" s="40">
        <v>0</v>
      </c>
      <c r="I259" s="40">
        <v>0</v>
      </c>
      <c r="J259" s="41"/>
      <c r="K259" s="41"/>
      <c r="L259" s="41"/>
      <c r="M259" s="41">
        <f t="shared" si="684"/>
        <v>0</v>
      </c>
      <c r="N259" s="41"/>
      <c r="O259" s="41"/>
      <c r="P259" s="41"/>
      <c r="Q259" s="41">
        <f t="shared" si="713"/>
        <v>0</v>
      </c>
      <c r="R259" s="41">
        <f t="shared" si="686"/>
        <v>0</v>
      </c>
      <c r="S259" s="41">
        <v>0</v>
      </c>
      <c r="T259" s="92"/>
      <c r="U259" s="92"/>
      <c r="V259" s="40">
        <f t="shared" si="714"/>
        <v>0</v>
      </c>
      <c r="W259" s="40">
        <f t="shared" si="715"/>
        <v>0</v>
      </c>
      <c r="X259" s="43">
        <f t="shared" si="716"/>
        <v>0</v>
      </c>
      <c r="Y259" s="43">
        <f t="shared" si="716"/>
        <v>0</v>
      </c>
      <c r="Z259" s="43">
        <v>0</v>
      </c>
      <c r="AA259" s="43"/>
      <c r="AB259" s="43">
        <f t="shared" si="547"/>
        <v>0</v>
      </c>
      <c r="AC259" s="43">
        <f t="shared" si="548"/>
        <v>0</v>
      </c>
      <c r="AD259" s="43">
        <f t="shared" si="717"/>
        <v>0</v>
      </c>
      <c r="AE259" s="43">
        <f t="shared" si="717"/>
        <v>0</v>
      </c>
      <c r="AF259" s="43">
        <f t="shared" si="718"/>
        <v>0</v>
      </c>
      <c r="AG259" s="43">
        <f t="shared" si="719"/>
        <v>0</v>
      </c>
      <c r="AH259" s="43">
        <f t="shared" si="719"/>
        <v>0</v>
      </c>
      <c r="AI259" s="93">
        <f t="shared" si="720"/>
        <v>0</v>
      </c>
      <c r="AJ259" s="43">
        <f t="shared" si="720"/>
        <v>0</v>
      </c>
      <c r="AK259" s="43"/>
      <c r="AL259" s="43"/>
      <c r="AM259" s="43">
        <f t="shared" si="721"/>
        <v>0</v>
      </c>
      <c r="AN259" s="43">
        <f t="shared" si="722"/>
        <v>0</v>
      </c>
      <c r="AO259" s="43"/>
      <c r="AP259" s="43"/>
      <c r="AQ259" s="43">
        <f t="shared" si="723"/>
        <v>0</v>
      </c>
      <c r="AR259" s="43">
        <f t="shared" si="723"/>
        <v>0</v>
      </c>
      <c r="AS259" s="43"/>
      <c r="AT259" s="43"/>
      <c r="AU259" s="43">
        <f t="shared" si="623"/>
        <v>0</v>
      </c>
      <c r="AV259" s="43">
        <f t="shared" si="623"/>
        <v>0</v>
      </c>
      <c r="AW259" s="43"/>
      <c r="AX259" s="43"/>
      <c r="AY259" s="43">
        <f t="shared" si="724"/>
        <v>0</v>
      </c>
      <c r="AZ259" s="43">
        <f t="shared" si="724"/>
        <v>0</v>
      </c>
      <c r="BA259" s="43">
        <f t="shared" si="725"/>
        <v>0</v>
      </c>
      <c r="BB259" s="60">
        <v>0</v>
      </c>
      <c r="BC259" s="60"/>
      <c r="BD259" s="60">
        <f t="shared" si="726"/>
        <v>0</v>
      </c>
      <c r="BE259" s="60">
        <f t="shared" si="726"/>
        <v>0</v>
      </c>
      <c r="BF259" s="60">
        <f t="shared" si="727"/>
        <v>0</v>
      </c>
      <c r="BG259" s="60">
        <f t="shared" si="727"/>
        <v>0</v>
      </c>
      <c r="BH259" s="43">
        <v>0</v>
      </c>
      <c r="BI259" s="43">
        <v>0</v>
      </c>
      <c r="BJ259" s="43"/>
      <c r="BK259" s="43"/>
      <c r="BL259" s="43">
        <f t="shared" si="545"/>
        <v>0</v>
      </c>
      <c r="BM259" s="43">
        <f t="shared" si="545"/>
        <v>0</v>
      </c>
      <c r="BN259" s="43">
        <f t="shared" si="573"/>
        <v>0</v>
      </c>
      <c r="BO259" s="43">
        <v>0</v>
      </c>
      <c r="BP259" s="93"/>
      <c r="BQ259" s="43">
        <f t="shared" si="549"/>
        <v>0</v>
      </c>
      <c r="BR259" s="43">
        <f t="shared" si="549"/>
        <v>0</v>
      </c>
      <c r="BS259" s="43">
        <f t="shared" si="550"/>
        <v>0</v>
      </c>
      <c r="BT259" s="43">
        <f t="shared" si="550"/>
        <v>0</v>
      </c>
      <c r="BU259" s="43">
        <f t="shared" si="583"/>
        <v>0</v>
      </c>
      <c r="BV259" s="43">
        <v>0</v>
      </c>
      <c r="BW259" s="43"/>
      <c r="BX259" s="43"/>
      <c r="BY259" s="43"/>
      <c r="BZ259" s="43"/>
      <c r="CA259" s="43">
        <v>0</v>
      </c>
      <c r="CB259" s="43">
        <v>0</v>
      </c>
      <c r="CC259" s="92">
        <v>0</v>
      </c>
      <c r="CD259" s="92">
        <v>0</v>
      </c>
      <c r="CE259" s="92">
        <v>0</v>
      </c>
      <c r="CF259" s="92">
        <v>0</v>
      </c>
      <c r="CG259" s="92">
        <f t="shared" si="551"/>
        <v>0</v>
      </c>
      <c r="CH259" s="92">
        <f t="shared" si="551"/>
        <v>0</v>
      </c>
      <c r="CI259" s="43"/>
      <c r="CJ259" s="43"/>
      <c r="CK259" s="43">
        <v>0</v>
      </c>
      <c r="CL259" s="43">
        <v>0</v>
      </c>
      <c r="CM259" s="43"/>
      <c r="CN259" s="43"/>
      <c r="CO259" s="43"/>
      <c r="CP259" s="43"/>
      <c r="CQ259" s="43">
        <f t="shared" si="552"/>
        <v>0</v>
      </c>
      <c r="CR259" s="43">
        <f t="shared" si="552"/>
        <v>0</v>
      </c>
      <c r="CS259" s="43">
        <f t="shared" si="553"/>
        <v>0</v>
      </c>
      <c r="CT259" s="43">
        <f t="shared" si="553"/>
        <v>0</v>
      </c>
      <c r="CU259" s="43">
        <f t="shared" si="553"/>
        <v>0</v>
      </c>
      <c r="CV259" s="43">
        <f t="shared" si="553"/>
        <v>0</v>
      </c>
      <c r="CW259" s="43">
        <f t="shared" si="554"/>
        <v>0</v>
      </c>
      <c r="CX259" s="43">
        <f t="shared" si="554"/>
        <v>0</v>
      </c>
      <c r="CY259" s="43"/>
      <c r="CZ259" s="43"/>
      <c r="DA259" s="43">
        <f t="shared" si="555"/>
        <v>0</v>
      </c>
      <c r="DB259" s="43">
        <f t="shared" si="555"/>
        <v>0</v>
      </c>
      <c r="DC259" s="43">
        <v>0</v>
      </c>
      <c r="DD259" s="43">
        <v>0</v>
      </c>
      <c r="DE259" s="43">
        <f t="shared" si="556"/>
        <v>0</v>
      </c>
      <c r="DF259" s="43">
        <f t="shared" si="556"/>
        <v>0</v>
      </c>
      <c r="DG259" s="43">
        <f t="shared" si="728"/>
        <v>0</v>
      </c>
      <c r="DH259" s="43">
        <f t="shared" si="728"/>
        <v>0</v>
      </c>
      <c r="DI259" s="43">
        <f t="shared" si="729"/>
        <v>0</v>
      </c>
      <c r="DJ259" s="43">
        <f>+DH259-DF259</f>
        <v>0</v>
      </c>
      <c r="DK259" s="43"/>
      <c r="DL259" s="43"/>
      <c r="DM259" s="43">
        <f t="shared" si="558"/>
        <v>0</v>
      </c>
      <c r="DN259" s="43">
        <f t="shared" si="558"/>
        <v>0</v>
      </c>
      <c r="DO259" s="115">
        <v>0</v>
      </c>
      <c r="DP259" s="114">
        <v>0</v>
      </c>
      <c r="DQ259" s="60">
        <f t="shared" si="559"/>
        <v>0</v>
      </c>
      <c r="DR259" s="60">
        <f t="shared" si="559"/>
        <v>0</v>
      </c>
      <c r="DS259" s="60">
        <f t="shared" si="560"/>
        <v>0</v>
      </c>
      <c r="DT259" s="60">
        <f t="shared" si="560"/>
        <v>0</v>
      </c>
      <c r="DU259" s="60">
        <f t="shared" si="561"/>
        <v>0</v>
      </c>
      <c r="DV259" s="60">
        <f t="shared" si="561"/>
        <v>0</v>
      </c>
      <c r="DW259" s="60"/>
      <c r="DX259" s="60"/>
      <c r="DY259" s="60">
        <f t="shared" si="701"/>
        <v>0</v>
      </c>
      <c r="DZ259" s="60">
        <f t="shared" si="701"/>
        <v>0</v>
      </c>
      <c r="EA259" s="60"/>
      <c r="EB259" s="60"/>
      <c r="EC259" s="43">
        <f t="shared" si="562"/>
        <v>0</v>
      </c>
      <c r="ED259" s="43">
        <f t="shared" si="562"/>
        <v>0</v>
      </c>
      <c r="EE259" s="43">
        <v>0</v>
      </c>
      <c r="EF259" s="43">
        <v>0</v>
      </c>
      <c r="EG259" s="43" t="e">
        <f t="shared" si="607"/>
        <v>#DIV/0!</v>
      </c>
      <c r="EH259" s="43" t="e">
        <f t="shared" si="607"/>
        <v>#DIV/0!</v>
      </c>
      <c r="EI259" s="43">
        <f t="shared" si="563"/>
        <v>0</v>
      </c>
      <c r="EJ259" s="43">
        <f t="shared" si="563"/>
        <v>0</v>
      </c>
      <c r="EK259" s="43">
        <f t="shared" si="564"/>
        <v>0</v>
      </c>
      <c r="EL259" s="43">
        <f t="shared" si="564"/>
        <v>0</v>
      </c>
      <c r="EM259" s="43">
        <f t="shared" si="565"/>
        <v>0</v>
      </c>
      <c r="EN259" s="43">
        <f t="shared" si="565"/>
        <v>0</v>
      </c>
      <c r="EO259" s="43">
        <v>0</v>
      </c>
      <c r="EP259" s="43">
        <v>0</v>
      </c>
      <c r="EQ259" s="5"/>
      <c r="ER259" s="5"/>
      <c r="ES259" s="5"/>
      <c r="ET259" s="5"/>
      <c r="EU259" s="5">
        <f t="shared" si="642"/>
        <v>0</v>
      </c>
      <c r="EV259" s="5">
        <f t="shared" si="642"/>
        <v>0</v>
      </c>
      <c r="EW259" s="5">
        <v>0</v>
      </c>
      <c r="EX259" s="5">
        <v>0</v>
      </c>
      <c r="EY259" s="5">
        <v>0</v>
      </c>
      <c r="EZ259" s="5">
        <v>0</v>
      </c>
    </row>
    <row r="260" spans="1:161" ht="18.75" x14ac:dyDescent="0.25">
      <c r="A260" s="68"/>
      <c r="B260" s="68" t="s">
        <v>526</v>
      </c>
      <c r="C260" s="91" t="s">
        <v>132</v>
      </c>
      <c r="D260" s="67" t="s">
        <v>523</v>
      </c>
      <c r="E260" s="69" t="s">
        <v>527</v>
      </c>
      <c r="F260" s="70">
        <v>1239.5700000000002</v>
      </c>
      <c r="G260" s="70">
        <v>162.1</v>
      </c>
      <c r="H260" s="70">
        <v>1249.5700000000002</v>
      </c>
      <c r="I260" s="70">
        <v>227.1</v>
      </c>
      <c r="J260" s="71">
        <f t="shared" ref="J260:AA260" si="730">+J257+J258+J259</f>
        <v>1500</v>
      </c>
      <c r="K260" s="71">
        <f t="shared" si="730"/>
        <v>0</v>
      </c>
      <c r="L260" s="71">
        <f t="shared" si="730"/>
        <v>0</v>
      </c>
      <c r="M260" s="71">
        <f t="shared" si="730"/>
        <v>1500</v>
      </c>
      <c r="N260" s="71">
        <f t="shared" si="730"/>
        <v>0</v>
      </c>
      <c r="O260" s="71">
        <f t="shared" si="730"/>
        <v>0</v>
      </c>
      <c r="P260" s="71">
        <f t="shared" si="730"/>
        <v>0</v>
      </c>
      <c r="Q260" s="71">
        <f t="shared" si="730"/>
        <v>0</v>
      </c>
      <c r="R260" s="71">
        <f t="shared" si="730"/>
        <v>1500</v>
      </c>
      <c r="S260" s="71">
        <f t="shared" si="730"/>
        <v>300</v>
      </c>
      <c r="T260" s="71">
        <f t="shared" si="730"/>
        <v>0</v>
      </c>
      <c r="U260" s="71">
        <f t="shared" si="730"/>
        <v>0</v>
      </c>
      <c r="V260" s="71">
        <f t="shared" si="730"/>
        <v>1322.42</v>
      </c>
      <c r="W260" s="71">
        <f t="shared" si="730"/>
        <v>234.53</v>
      </c>
      <c r="X260" s="71">
        <f t="shared" si="730"/>
        <v>177.57999999999993</v>
      </c>
      <c r="Y260" s="71">
        <f t="shared" si="730"/>
        <v>65.47</v>
      </c>
      <c r="Z260" s="71">
        <f t="shared" si="730"/>
        <v>1322.42</v>
      </c>
      <c r="AA260" s="71">
        <f t="shared" si="730"/>
        <v>0</v>
      </c>
      <c r="AB260" s="70">
        <f t="shared" si="547"/>
        <v>1322.42</v>
      </c>
      <c r="AC260" s="43">
        <f t="shared" si="548"/>
        <v>0</v>
      </c>
      <c r="AD260" s="70">
        <f t="shared" ref="AD260:CQ260" si="731">+AD257+AD258+AD259</f>
        <v>1322.42</v>
      </c>
      <c r="AE260" s="70">
        <f t="shared" si="731"/>
        <v>234.53</v>
      </c>
      <c r="AF260" s="70">
        <f t="shared" si="731"/>
        <v>270.66000000000003</v>
      </c>
      <c r="AG260" s="70">
        <f t="shared" si="731"/>
        <v>331</v>
      </c>
      <c r="AH260" s="70">
        <f t="shared" si="731"/>
        <v>59</v>
      </c>
      <c r="AI260" s="96">
        <f t="shared" si="731"/>
        <v>110</v>
      </c>
      <c r="AJ260" s="70">
        <f t="shared" si="731"/>
        <v>20</v>
      </c>
      <c r="AK260" s="70">
        <f t="shared" si="731"/>
        <v>0</v>
      </c>
      <c r="AL260" s="70">
        <f t="shared" si="731"/>
        <v>0</v>
      </c>
      <c r="AM260" s="70">
        <f t="shared" si="731"/>
        <v>330.61</v>
      </c>
      <c r="AN260" s="70">
        <f t="shared" si="731"/>
        <v>57.11</v>
      </c>
      <c r="AO260" s="70">
        <f t="shared" si="731"/>
        <v>0</v>
      </c>
      <c r="AP260" s="70">
        <f t="shared" si="731"/>
        <v>0</v>
      </c>
      <c r="AQ260" s="70">
        <f t="shared" si="731"/>
        <v>661.61</v>
      </c>
      <c r="AR260" s="70">
        <f t="shared" si="731"/>
        <v>116.11</v>
      </c>
      <c r="AS260" s="70">
        <f t="shared" si="731"/>
        <v>0</v>
      </c>
      <c r="AT260" s="70">
        <f t="shared" si="731"/>
        <v>0</v>
      </c>
      <c r="AU260" s="70">
        <f t="shared" si="731"/>
        <v>330.61</v>
      </c>
      <c r="AV260" s="70">
        <f t="shared" si="731"/>
        <v>58.63</v>
      </c>
      <c r="AW260" s="70">
        <f t="shared" si="731"/>
        <v>0</v>
      </c>
      <c r="AX260" s="70">
        <f t="shared" si="731"/>
        <v>136.53</v>
      </c>
      <c r="AY260" s="70">
        <f t="shared" si="731"/>
        <v>1102.22</v>
      </c>
      <c r="AZ260" s="70">
        <f t="shared" si="731"/>
        <v>331.27</v>
      </c>
      <c r="BA260" s="70">
        <f t="shared" si="731"/>
        <v>1433.49</v>
      </c>
      <c r="BB260" s="70">
        <f t="shared" si="731"/>
        <v>1078.8599999999999</v>
      </c>
      <c r="BC260" s="70">
        <f t="shared" si="731"/>
        <v>316.68</v>
      </c>
      <c r="BD260" s="70">
        <f t="shared" si="731"/>
        <v>23.360000000000127</v>
      </c>
      <c r="BE260" s="70">
        <f t="shared" si="731"/>
        <v>14.589999999999975</v>
      </c>
      <c r="BF260" s="70">
        <f t="shared" si="731"/>
        <v>215.77</v>
      </c>
      <c r="BG260" s="96">
        <f t="shared" si="731"/>
        <v>63.34</v>
      </c>
      <c r="BH260" s="96">
        <f t="shared" si="731"/>
        <v>96.21</v>
      </c>
      <c r="BI260" s="96">
        <f t="shared" si="731"/>
        <v>0</v>
      </c>
      <c r="BJ260" s="96">
        <f t="shared" si="731"/>
        <v>0</v>
      </c>
      <c r="BK260" s="96">
        <f t="shared" si="731"/>
        <v>0</v>
      </c>
      <c r="BL260" s="96">
        <f t="shared" si="731"/>
        <v>1198.43</v>
      </c>
      <c r="BM260" s="96">
        <f t="shared" si="731"/>
        <v>331.27</v>
      </c>
      <c r="BN260" s="96">
        <f t="shared" si="731"/>
        <v>1529.7</v>
      </c>
      <c r="BO260" s="96">
        <f t="shared" si="731"/>
        <v>1180.77</v>
      </c>
      <c r="BP260" s="96">
        <f t="shared" si="731"/>
        <v>320.69</v>
      </c>
      <c r="BQ260" s="70">
        <f t="shared" si="731"/>
        <v>17.660000000000082</v>
      </c>
      <c r="BR260" s="70">
        <f t="shared" si="731"/>
        <v>10.579999999999984</v>
      </c>
      <c r="BS260" s="70">
        <f t="shared" si="731"/>
        <v>107.34</v>
      </c>
      <c r="BT260" s="70">
        <f t="shared" si="731"/>
        <v>29.15</v>
      </c>
      <c r="BU260" s="70">
        <f t="shared" si="731"/>
        <v>89.68</v>
      </c>
      <c r="BV260" s="70">
        <f t="shared" si="731"/>
        <v>0</v>
      </c>
      <c r="BW260" s="70">
        <f t="shared" si="731"/>
        <v>20</v>
      </c>
      <c r="BX260" s="70">
        <f t="shared" si="731"/>
        <v>40</v>
      </c>
      <c r="BY260" s="70">
        <f t="shared" si="731"/>
        <v>0</v>
      </c>
      <c r="BZ260" s="70">
        <f t="shared" si="731"/>
        <v>0</v>
      </c>
      <c r="CA260" s="70">
        <f t="shared" si="731"/>
        <v>1308.1100000000001</v>
      </c>
      <c r="CB260" s="70">
        <f t="shared" si="731"/>
        <v>371.27</v>
      </c>
      <c r="CC260" s="70">
        <f t="shared" si="731"/>
        <v>1438.92</v>
      </c>
      <c r="CD260" s="70">
        <f t="shared" si="731"/>
        <v>426.96</v>
      </c>
      <c r="CE260" s="70">
        <f t="shared" si="731"/>
        <v>120</v>
      </c>
      <c r="CF260" s="70">
        <f t="shared" si="731"/>
        <v>36</v>
      </c>
      <c r="CG260" s="70">
        <f t="shared" si="731"/>
        <v>327.02999999999997</v>
      </c>
      <c r="CH260" s="96">
        <f t="shared" si="731"/>
        <v>92.82</v>
      </c>
      <c r="CI260" s="70">
        <f t="shared" si="731"/>
        <v>0</v>
      </c>
      <c r="CJ260" s="70">
        <f t="shared" si="731"/>
        <v>0</v>
      </c>
      <c r="CK260" s="70">
        <f t="shared" si="731"/>
        <v>350</v>
      </c>
      <c r="CL260" s="70">
        <f t="shared" si="731"/>
        <v>75</v>
      </c>
      <c r="CM260" s="70">
        <f t="shared" si="731"/>
        <v>0</v>
      </c>
      <c r="CN260" s="70">
        <f t="shared" si="731"/>
        <v>0</v>
      </c>
      <c r="CO260" s="70">
        <f t="shared" si="731"/>
        <v>1520.98</v>
      </c>
      <c r="CP260" s="70">
        <f t="shared" si="731"/>
        <v>269.7</v>
      </c>
      <c r="CQ260" s="70">
        <f t="shared" si="731"/>
        <v>1400</v>
      </c>
      <c r="CR260" s="70">
        <f t="shared" ref="CR260:EZ260" si="732">+CR257+CR258+CR259</f>
        <v>300</v>
      </c>
      <c r="CS260" s="70">
        <f t="shared" si="732"/>
        <v>1400</v>
      </c>
      <c r="CT260" s="70">
        <f t="shared" si="732"/>
        <v>269.7</v>
      </c>
      <c r="CU260" s="70">
        <f t="shared" si="732"/>
        <v>1400</v>
      </c>
      <c r="CV260" s="70">
        <f t="shared" si="732"/>
        <v>269.7</v>
      </c>
      <c r="CW260" s="70">
        <f t="shared" si="732"/>
        <v>350</v>
      </c>
      <c r="CX260" s="70">
        <f t="shared" si="732"/>
        <v>37.430000000000007</v>
      </c>
      <c r="CY260" s="70">
        <f t="shared" si="732"/>
        <v>0</v>
      </c>
      <c r="CZ260" s="70">
        <f t="shared" si="732"/>
        <v>0</v>
      </c>
      <c r="DA260" s="70">
        <f t="shared" si="732"/>
        <v>820</v>
      </c>
      <c r="DB260" s="70">
        <f t="shared" si="732"/>
        <v>148.43</v>
      </c>
      <c r="DC260" s="70">
        <f t="shared" si="732"/>
        <v>758.13</v>
      </c>
      <c r="DD260" s="70">
        <f t="shared" si="732"/>
        <v>128.66999999999999</v>
      </c>
      <c r="DE260" s="70">
        <f t="shared" si="732"/>
        <v>61.870000000000005</v>
      </c>
      <c r="DF260" s="70">
        <f t="shared" si="732"/>
        <v>19.760000000000019</v>
      </c>
      <c r="DG260" s="70">
        <f t="shared" si="732"/>
        <v>350</v>
      </c>
      <c r="DH260" s="70">
        <f t="shared" si="732"/>
        <v>67.430000000000007</v>
      </c>
      <c r="DI260" s="70">
        <f t="shared" si="732"/>
        <v>288.13</v>
      </c>
      <c r="DJ260" s="70">
        <f t="shared" si="732"/>
        <v>47.669999999999987</v>
      </c>
      <c r="DK260" s="70">
        <f t="shared" si="732"/>
        <v>20</v>
      </c>
      <c r="DL260" s="70">
        <f t="shared" si="732"/>
        <v>0</v>
      </c>
      <c r="DM260" s="70">
        <f t="shared" si="732"/>
        <v>1128.1300000000001</v>
      </c>
      <c r="DN260" s="70">
        <f t="shared" si="732"/>
        <v>196.1</v>
      </c>
      <c r="DO260" s="70">
        <f t="shared" si="732"/>
        <v>1124.25</v>
      </c>
      <c r="DP260" s="70">
        <f t="shared" si="732"/>
        <v>191.63</v>
      </c>
      <c r="DQ260" s="70">
        <f t="shared" si="732"/>
        <v>3.88</v>
      </c>
      <c r="DR260" s="70">
        <f t="shared" si="732"/>
        <v>4.47</v>
      </c>
      <c r="DS260" s="70">
        <f t="shared" si="732"/>
        <v>112.425</v>
      </c>
      <c r="DT260" s="70">
        <f t="shared" si="732"/>
        <v>19.163</v>
      </c>
      <c r="DU260" s="70">
        <f t="shared" si="732"/>
        <v>108.545</v>
      </c>
      <c r="DV260" s="70">
        <f t="shared" si="732"/>
        <v>14.693000000000001</v>
      </c>
      <c r="DW260" s="70">
        <f t="shared" si="732"/>
        <v>0</v>
      </c>
      <c r="DX260" s="70">
        <f t="shared" si="732"/>
        <v>0</v>
      </c>
      <c r="DY260" s="70">
        <f t="shared" si="732"/>
        <v>108.55</v>
      </c>
      <c r="DZ260" s="70">
        <f t="shared" si="732"/>
        <v>70</v>
      </c>
      <c r="EA260" s="70">
        <f t="shared" si="732"/>
        <v>0</v>
      </c>
      <c r="EB260" s="96">
        <f t="shared" si="732"/>
        <v>0</v>
      </c>
      <c r="EC260" s="70">
        <f t="shared" si="732"/>
        <v>1236.68</v>
      </c>
      <c r="ED260" s="70">
        <f t="shared" si="732"/>
        <v>266.10000000000002</v>
      </c>
      <c r="EE260" s="70">
        <f t="shared" si="732"/>
        <v>1235.21</v>
      </c>
      <c r="EF260" s="70">
        <f t="shared" si="732"/>
        <v>221.48</v>
      </c>
      <c r="EG260" s="70" t="e">
        <f t="shared" si="732"/>
        <v>#DIV/0!</v>
      </c>
      <c r="EH260" s="70" t="e">
        <f t="shared" si="732"/>
        <v>#DIV/0!</v>
      </c>
      <c r="EI260" s="70">
        <f t="shared" si="732"/>
        <v>1.47</v>
      </c>
      <c r="EJ260" s="70">
        <f t="shared" si="732"/>
        <v>44.62</v>
      </c>
      <c r="EK260" s="70">
        <f t="shared" si="732"/>
        <v>112.29</v>
      </c>
      <c r="EL260" s="70">
        <f t="shared" si="732"/>
        <v>20.13</v>
      </c>
      <c r="EM260" s="70">
        <f t="shared" si="732"/>
        <v>110.82000000000001</v>
      </c>
      <c r="EN260" s="70">
        <f t="shared" si="732"/>
        <v>-24.49</v>
      </c>
      <c r="EO260" s="70">
        <f t="shared" si="732"/>
        <v>110</v>
      </c>
      <c r="EP260" s="70">
        <f t="shared" si="732"/>
        <v>0</v>
      </c>
      <c r="EQ260" s="66">
        <f t="shared" si="732"/>
        <v>0</v>
      </c>
      <c r="ER260" s="46">
        <f t="shared" si="732"/>
        <v>0</v>
      </c>
      <c r="ES260" s="46">
        <f t="shared" si="732"/>
        <v>0</v>
      </c>
      <c r="ET260" s="46">
        <f t="shared" si="732"/>
        <v>90</v>
      </c>
      <c r="EU260" s="5">
        <f t="shared" si="642"/>
        <v>129.31999999999994</v>
      </c>
      <c r="EV260" s="5">
        <f t="shared" si="642"/>
        <v>36.729999999999961</v>
      </c>
      <c r="EW260" s="46">
        <f t="shared" si="732"/>
        <v>1476</v>
      </c>
      <c r="EX260" s="46">
        <f t="shared" si="732"/>
        <v>302.83</v>
      </c>
      <c r="EY260" s="46">
        <f t="shared" si="732"/>
        <v>1695</v>
      </c>
      <c r="EZ260" s="46">
        <f t="shared" si="732"/>
        <v>310.16000000000003</v>
      </c>
    </row>
    <row r="261" spans="1:161" ht="18.75" x14ac:dyDescent="0.25">
      <c r="A261" s="68">
        <v>18</v>
      </c>
      <c r="B261" s="68" t="s">
        <v>528</v>
      </c>
      <c r="C261" s="91" t="s">
        <v>107</v>
      </c>
      <c r="D261" s="67" t="s">
        <v>529</v>
      </c>
      <c r="E261" s="69" t="s">
        <v>530</v>
      </c>
      <c r="F261" s="40">
        <v>1375.87</v>
      </c>
      <c r="G261" s="40">
        <v>268.45</v>
      </c>
      <c r="H261" s="40">
        <v>1375.87</v>
      </c>
      <c r="I261" s="70">
        <v>268.45</v>
      </c>
      <c r="J261" s="71">
        <v>1579.6</v>
      </c>
      <c r="K261" s="41"/>
      <c r="L261" s="41"/>
      <c r="M261" s="71">
        <f t="shared" ref="M261:M266" si="733">+L261+K261+J261</f>
        <v>1579.6</v>
      </c>
      <c r="N261" s="41"/>
      <c r="O261" s="41"/>
      <c r="P261" s="41"/>
      <c r="Q261" s="71">
        <f t="shared" ref="Q261" si="734">+P261+O261+N261</f>
        <v>0</v>
      </c>
      <c r="R261" s="71">
        <f t="shared" ref="R261:R272" si="735">+Q261+M261</f>
        <v>1579.6</v>
      </c>
      <c r="S261" s="41">
        <v>120</v>
      </c>
      <c r="T261" s="92"/>
      <c r="U261" s="92"/>
      <c r="V261" s="70">
        <f t="shared" ref="V261" si="736">ROUND(H261*1.0583,2)</f>
        <v>1456.08</v>
      </c>
      <c r="W261" s="70">
        <f t="shared" ref="W261" si="737">ROUND(I261*1.0327,2)</f>
        <v>277.23</v>
      </c>
      <c r="X261" s="70">
        <f t="shared" si="716"/>
        <v>123.51999999999998</v>
      </c>
      <c r="Y261" s="70">
        <f t="shared" si="716"/>
        <v>-157.23000000000002</v>
      </c>
      <c r="Z261" s="70">
        <v>1456.08</v>
      </c>
      <c r="AA261" s="70"/>
      <c r="AB261" s="70">
        <f t="shared" si="547"/>
        <v>1456.08</v>
      </c>
      <c r="AC261" s="43">
        <f t="shared" si="548"/>
        <v>0</v>
      </c>
      <c r="AD261" s="70">
        <f t="shared" ref="AD261:AE261" si="738">IF(X261&gt;0,V261,R261)</f>
        <v>1456.08</v>
      </c>
      <c r="AE261" s="70">
        <f t="shared" si="738"/>
        <v>120</v>
      </c>
      <c r="AF261" s="70">
        <f t="shared" si="718"/>
        <v>108.26</v>
      </c>
      <c r="AG261" s="43">
        <f t="shared" si="719"/>
        <v>364</v>
      </c>
      <c r="AH261" s="43">
        <f t="shared" si="719"/>
        <v>30</v>
      </c>
      <c r="AI261" s="93">
        <f t="shared" si="720"/>
        <v>121</v>
      </c>
      <c r="AJ261" s="43">
        <f t="shared" si="720"/>
        <v>10</v>
      </c>
      <c r="AK261" s="43"/>
      <c r="AL261" s="43"/>
      <c r="AM261" s="43">
        <f t="shared" si="721"/>
        <v>364.02</v>
      </c>
      <c r="AN261" s="43">
        <f t="shared" si="722"/>
        <v>29.22</v>
      </c>
      <c r="AO261" s="43"/>
      <c r="AP261" s="43"/>
      <c r="AQ261" s="43">
        <f t="shared" si="723"/>
        <v>728.02</v>
      </c>
      <c r="AR261" s="43">
        <f t="shared" si="723"/>
        <v>59.22</v>
      </c>
      <c r="AS261" s="43"/>
      <c r="AT261" s="43"/>
      <c r="AU261" s="43">
        <f t="shared" si="623"/>
        <v>364.02</v>
      </c>
      <c r="AV261" s="43">
        <f t="shared" si="623"/>
        <v>30</v>
      </c>
      <c r="AW261" s="43"/>
      <c r="AX261" s="43"/>
      <c r="AY261" s="43">
        <f t="shared" si="724"/>
        <v>1213.04</v>
      </c>
      <c r="AZ261" s="43">
        <f t="shared" si="724"/>
        <v>99.22</v>
      </c>
      <c r="BA261" s="43">
        <f t="shared" si="725"/>
        <v>1312.26</v>
      </c>
      <c r="BB261" s="60">
        <v>1135.1300000000001</v>
      </c>
      <c r="BC261" s="60">
        <v>81.540000000000006</v>
      </c>
      <c r="BD261" s="60">
        <f t="shared" si="726"/>
        <v>77.909999999999854</v>
      </c>
      <c r="BE261" s="60">
        <f t="shared" si="726"/>
        <v>17.679999999999993</v>
      </c>
      <c r="BF261" s="60">
        <f t="shared" si="727"/>
        <v>227.03</v>
      </c>
      <c r="BG261" s="60">
        <f t="shared" si="727"/>
        <v>16.309999999999999</v>
      </c>
      <c r="BH261" s="43">
        <v>74.56</v>
      </c>
      <c r="BI261" s="43">
        <v>0</v>
      </c>
      <c r="BJ261" s="43"/>
      <c r="BK261" s="43"/>
      <c r="BL261" s="43">
        <f t="shared" ref="BL261:BM306" si="739">+BH261+AY261+BJ261</f>
        <v>1287.5999999999999</v>
      </c>
      <c r="BM261" s="43">
        <f t="shared" si="739"/>
        <v>99.22</v>
      </c>
      <c r="BN261" s="43">
        <f t="shared" si="573"/>
        <v>1386.82</v>
      </c>
      <c r="BO261" s="43">
        <v>1256.94</v>
      </c>
      <c r="BP261" s="93">
        <v>83.92</v>
      </c>
      <c r="BQ261" s="43">
        <f t="shared" si="549"/>
        <v>30.659999999999854</v>
      </c>
      <c r="BR261" s="43">
        <f t="shared" si="549"/>
        <v>15.299999999999997</v>
      </c>
      <c r="BS261" s="43">
        <f t="shared" si="550"/>
        <v>114.27</v>
      </c>
      <c r="BT261" s="43">
        <f t="shared" si="550"/>
        <v>7.63</v>
      </c>
      <c r="BU261" s="43">
        <v>83.61</v>
      </c>
      <c r="BV261" s="43">
        <v>0</v>
      </c>
      <c r="BW261" s="43">
        <v>18.79</v>
      </c>
      <c r="BX261" s="43">
        <f>16+0.28</f>
        <v>16.28</v>
      </c>
      <c r="BY261" s="43"/>
      <c r="BZ261" s="43"/>
      <c r="CA261" s="43">
        <v>1389.9999999999998</v>
      </c>
      <c r="CB261" s="43">
        <v>115.5</v>
      </c>
      <c r="CC261" s="92">
        <v>1529</v>
      </c>
      <c r="CD261" s="92">
        <v>132.83000000000001</v>
      </c>
      <c r="CE261" s="92">
        <v>127</v>
      </c>
      <c r="CF261" s="92">
        <v>11</v>
      </c>
      <c r="CG261" s="92">
        <f t="shared" si="551"/>
        <v>347.5</v>
      </c>
      <c r="CH261" s="92">
        <f t="shared" si="551"/>
        <v>28.88</v>
      </c>
      <c r="CI261" s="43"/>
      <c r="CJ261" s="43"/>
      <c r="CK261" s="43">
        <v>400</v>
      </c>
      <c r="CL261" s="43">
        <v>0</v>
      </c>
      <c r="CM261" s="43"/>
      <c r="CN261" s="43"/>
      <c r="CO261" s="43">
        <v>1672</v>
      </c>
      <c r="CP261" s="43">
        <v>140</v>
      </c>
      <c r="CQ261" s="43">
        <f t="shared" si="552"/>
        <v>1600</v>
      </c>
      <c r="CR261" s="43">
        <f t="shared" si="552"/>
        <v>0</v>
      </c>
      <c r="CS261" s="43">
        <f t="shared" si="553"/>
        <v>1600</v>
      </c>
      <c r="CT261" s="43">
        <f>IF(CP261&lt;CR261,CP261,CR261)+120</f>
        <v>120</v>
      </c>
      <c r="CU261" s="43">
        <f t="shared" ref="CU261" si="740">IF(CQ261&lt;CS261,CQ261,CS261)</f>
        <v>1600</v>
      </c>
      <c r="CV261" s="43">
        <f>IF(CR261&lt;CT261,CR261,CT261)+120</f>
        <v>120</v>
      </c>
      <c r="CW261" s="43">
        <f t="shared" si="554"/>
        <v>400</v>
      </c>
      <c r="CX261" s="43">
        <f t="shared" si="554"/>
        <v>30</v>
      </c>
      <c r="CY261" s="43"/>
      <c r="CZ261" s="43"/>
      <c r="DA261" s="43">
        <f t="shared" si="555"/>
        <v>927</v>
      </c>
      <c r="DB261" s="43">
        <f t="shared" si="555"/>
        <v>41</v>
      </c>
      <c r="DC261" s="43">
        <v>898.02</v>
      </c>
      <c r="DD261" s="43">
        <v>18.04</v>
      </c>
      <c r="DE261" s="43">
        <f t="shared" si="556"/>
        <v>28.980000000000018</v>
      </c>
      <c r="DF261" s="43">
        <f t="shared" si="556"/>
        <v>22.96</v>
      </c>
      <c r="DG261" s="43">
        <f>ROUND(0.25*(MIN(CU261,EW261)),2)</f>
        <v>400</v>
      </c>
      <c r="DH261" s="43">
        <f>ROUND(0.25*(MIN(CV261,EX261)),2)</f>
        <v>30</v>
      </c>
      <c r="DI261" s="43">
        <f>+DG261-DE261</f>
        <v>371.02</v>
      </c>
      <c r="DJ261" s="43">
        <f>+DH261-DF261</f>
        <v>7.0399999999999991</v>
      </c>
      <c r="DK261" s="43"/>
      <c r="DL261" s="43"/>
      <c r="DM261" s="43">
        <f t="shared" si="558"/>
        <v>1298.02</v>
      </c>
      <c r="DN261" s="43">
        <f t="shared" si="558"/>
        <v>48.04</v>
      </c>
      <c r="DO261" s="94">
        <v>1298</v>
      </c>
      <c r="DP261" s="78">
        <v>22.77</v>
      </c>
      <c r="DQ261" s="60">
        <f t="shared" si="559"/>
        <v>0.02</v>
      </c>
      <c r="DR261" s="60">
        <f t="shared" si="559"/>
        <v>25.27</v>
      </c>
      <c r="DS261" s="60">
        <f t="shared" si="560"/>
        <v>129.80000000000001</v>
      </c>
      <c r="DT261" s="60">
        <f t="shared" si="560"/>
        <v>2.2770000000000001</v>
      </c>
      <c r="DU261" s="60">
        <f t="shared" si="561"/>
        <v>129.78</v>
      </c>
      <c r="DV261" s="60">
        <f t="shared" si="561"/>
        <v>-22.992999999999999</v>
      </c>
      <c r="DW261" s="60"/>
      <c r="DX261" s="60"/>
      <c r="DY261" s="60">
        <f t="shared" si="701"/>
        <v>129.78</v>
      </c>
      <c r="DZ261" s="60">
        <v>100</v>
      </c>
      <c r="EA261" s="60"/>
      <c r="EB261" s="60"/>
      <c r="EC261" s="43">
        <f t="shared" si="562"/>
        <v>1427.8</v>
      </c>
      <c r="ED261" s="43">
        <f t="shared" si="562"/>
        <v>148.04</v>
      </c>
      <c r="EE261" s="43">
        <v>1427.77</v>
      </c>
      <c r="EF261" s="43">
        <v>101.31</v>
      </c>
      <c r="EG261" s="43">
        <f t="shared" si="607"/>
        <v>100</v>
      </c>
      <c r="EH261" s="43">
        <f t="shared" si="607"/>
        <v>68.430000000000007</v>
      </c>
      <c r="EI261" s="43">
        <f t="shared" si="563"/>
        <v>0.03</v>
      </c>
      <c r="EJ261" s="43">
        <f t="shared" si="563"/>
        <v>46.73</v>
      </c>
      <c r="EK261" s="43">
        <f t="shared" si="564"/>
        <v>129.80000000000001</v>
      </c>
      <c r="EL261" s="43">
        <f t="shared" si="564"/>
        <v>9.2100000000000009</v>
      </c>
      <c r="EM261" s="43">
        <f t="shared" si="565"/>
        <v>129.77000000000001</v>
      </c>
      <c r="EN261" s="43">
        <f t="shared" si="565"/>
        <v>-37.519999999999996</v>
      </c>
      <c r="EO261" s="43">
        <v>134.5</v>
      </c>
      <c r="EP261" s="43">
        <v>65</v>
      </c>
      <c r="EQ261" s="5"/>
      <c r="ER261" s="5"/>
      <c r="ES261" s="5"/>
      <c r="ET261" s="45">
        <v>160.96</v>
      </c>
      <c r="EU261" s="5">
        <f t="shared" si="642"/>
        <v>37.700000000000045</v>
      </c>
      <c r="EV261" s="5">
        <f t="shared" si="642"/>
        <v>-4.039999999999992</v>
      </c>
      <c r="EW261" s="5">
        <v>1600</v>
      </c>
      <c r="EX261" s="45">
        <v>209</v>
      </c>
      <c r="EY261" s="5">
        <v>1835</v>
      </c>
      <c r="EZ261" s="5">
        <v>205</v>
      </c>
      <c r="FB261" s="5">
        <v>209</v>
      </c>
      <c r="FC261" s="5">
        <v>28.11</v>
      </c>
    </row>
    <row r="262" spans="1:161" ht="37.5" x14ac:dyDescent="0.25">
      <c r="A262" s="68"/>
      <c r="B262" s="68"/>
      <c r="C262" s="91"/>
      <c r="D262" s="67" t="s">
        <v>531</v>
      </c>
      <c r="E262" s="69" t="s">
        <v>532</v>
      </c>
      <c r="F262" s="70">
        <v>13093.32</v>
      </c>
      <c r="G262" s="70">
        <v>3186.75</v>
      </c>
      <c r="H262" s="70">
        <v>13128.09</v>
      </c>
      <c r="I262" s="70">
        <v>3156.9800000000005</v>
      </c>
      <c r="J262" s="71">
        <f t="shared" ref="J262:AA262" si="741">+J261+J260+J256+J253+J248</f>
        <v>14884.23</v>
      </c>
      <c r="K262" s="71">
        <f t="shared" si="741"/>
        <v>0</v>
      </c>
      <c r="L262" s="71">
        <f t="shared" si="741"/>
        <v>0.3</v>
      </c>
      <c r="M262" s="71">
        <f t="shared" si="741"/>
        <v>14884.529999999999</v>
      </c>
      <c r="N262" s="71">
        <f t="shared" si="741"/>
        <v>279.44</v>
      </c>
      <c r="O262" s="71">
        <f t="shared" si="741"/>
        <v>0</v>
      </c>
      <c r="P262" s="71">
        <f t="shared" si="741"/>
        <v>0</v>
      </c>
      <c r="Q262" s="71">
        <f t="shared" si="741"/>
        <v>279.44</v>
      </c>
      <c r="R262" s="71">
        <f t="shared" si="741"/>
        <v>15163.969999999998</v>
      </c>
      <c r="S262" s="71">
        <f t="shared" si="741"/>
        <v>3175</v>
      </c>
      <c r="T262" s="71">
        <f t="shared" si="741"/>
        <v>0</v>
      </c>
      <c r="U262" s="71">
        <f t="shared" si="741"/>
        <v>0</v>
      </c>
      <c r="V262" s="71">
        <f t="shared" si="741"/>
        <v>13893.46</v>
      </c>
      <c r="W262" s="71">
        <f t="shared" si="741"/>
        <v>3260.21</v>
      </c>
      <c r="X262" s="71">
        <f t="shared" si="741"/>
        <v>1270.5099999999998</v>
      </c>
      <c r="Y262" s="71">
        <f t="shared" si="741"/>
        <v>-85.210000000000036</v>
      </c>
      <c r="Z262" s="71">
        <f t="shared" si="741"/>
        <v>13638.880000000001</v>
      </c>
      <c r="AA262" s="71">
        <f t="shared" si="741"/>
        <v>222.7</v>
      </c>
      <c r="AB262" s="70">
        <f t="shared" ref="AB262:AB310" si="742">Z262+AA262</f>
        <v>13861.580000000002</v>
      </c>
      <c r="AC262" s="43">
        <f t="shared" ref="AC262:AC310" si="743">AD262-AB262</f>
        <v>0</v>
      </c>
      <c r="AD262" s="70">
        <f t="shared" ref="AD262:BY262" si="744">+AD261+AD260+AD256+AD253+AD248</f>
        <v>13861.58</v>
      </c>
      <c r="AE262" s="70">
        <f t="shared" si="744"/>
        <v>2854.76</v>
      </c>
      <c r="AF262" s="70">
        <f t="shared" si="744"/>
        <v>2864.48</v>
      </c>
      <c r="AG262" s="70">
        <f t="shared" si="744"/>
        <v>3465</v>
      </c>
      <c r="AH262" s="70">
        <f t="shared" si="744"/>
        <v>717</v>
      </c>
      <c r="AI262" s="96">
        <f t="shared" si="744"/>
        <v>1155</v>
      </c>
      <c r="AJ262" s="96">
        <f t="shared" si="744"/>
        <v>239</v>
      </c>
      <c r="AK262" s="96">
        <f t="shared" si="744"/>
        <v>0</v>
      </c>
      <c r="AL262" s="96">
        <f t="shared" si="744"/>
        <v>100</v>
      </c>
      <c r="AM262" s="96">
        <f t="shared" si="744"/>
        <v>3465.4100000000003</v>
      </c>
      <c r="AN262" s="96">
        <f t="shared" si="744"/>
        <v>685.48</v>
      </c>
      <c r="AO262" s="96">
        <f t="shared" si="744"/>
        <v>0</v>
      </c>
      <c r="AP262" s="96">
        <f t="shared" si="744"/>
        <v>0</v>
      </c>
      <c r="AQ262" s="96">
        <f t="shared" si="744"/>
        <v>6930.41</v>
      </c>
      <c r="AR262" s="96">
        <f t="shared" si="744"/>
        <v>1502.48</v>
      </c>
      <c r="AS262" s="96">
        <f t="shared" si="744"/>
        <v>0</v>
      </c>
      <c r="AT262" s="96">
        <f t="shared" si="744"/>
        <v>0</v>
      </c>
      <c r="AU262" s="96">
        <f t="shared" si="744"/>
        <v>3465.4100000000003</v>
      </c>
      <c r="AV262" s="96">
        <f t="shared" si="744"/>
        <v>652.43999999999994</v>
      </c>
      <c r="AW262" s="96">
        <f t="shared" si="744"/>
        <v>0</v>
      </c>
      <c r="AX262" s="96">
        <f t="shared" si="744"/>
        <v>643.03</v>
      </c>
      <c r="AY262" s="96">
        <f t="shared" si="744"/>
        <v>11550.82</v>
      </c>
      <c r="AZ262" s="96">
        <f t="shared" si="744"/>
        <v>3036.95</v>
      </c>
      <c r="BA262" s="96">
        <f t="shared" si="744"/>
        <v>14587.77</v>
      </c>
      <c r="BB262" s="96">
        <f t="shared" si="744"/>
        <v>11324.33</v>
      </c>
      <c r="BC262" s="96">
        <f t="shared" si="744"/>
        <v>2921.1000000000004</v>
      </c>
      <c r="BD262" s="96">
        <f t="shared" si="744"/>
        <v>226.49000000000012</v>
      </c>
      <c r="BE262" s="96">
        <f t="shared" si="744"/>
        <v>115.84999999999997</v>
      </c>
      <c r="BF262" s="96">
        <f t="shared" si="744"/>
        <v>2264.88</v>
      </c>
      <c r="BG262" s="96">
        <f t="shared" si="744"/>
        <v>584.23</v>
      </c>
      <c r="BH262" s="96">
        <f t="shared" si="744"/>
        <v>1008.92</v>
      </c>
      <c r="BI262" s="96">
        <f t="shared" si="744"/>
        <v>164.5</v>
      </c>
      <c r="BJ262" s="96">
        <f t="shared" si="744"/>
        <v>0</v>
      </c>
      <c r="BK262" s="96">
        <f t="shared" si="744"/>
        <v>150</v>
      </c>
      <c r="BL262" s="96">
        <f t="shared" si="744"/>
        <v>12559.740000000002</v>
      </c>
      <c r="BM262" s="96">
        <f t="shared" si="744"/>
        <v>3351.45</v>
      </c>
      <c r="BN262" s="96">
        <f t="shared" si="744"/>
        <v>15911.190000000002</v>
      </c>
      <c r="BO262" s="96">
        <f t="shared" si="744"/>
        <v>12191.48</v>
      </c>
      <c r="BP262" s="96">
        <f t="shared" si="744"/>
        <v>3233.2799999999997</v>
      </c>
      <c r="BQ262" s="70">
        <f t="shared" si="744"/>
        <v>368.26000000000033</v>
      </c>
      <c r="BR262" s="70">
        <f t="shared" si="744"/>
        <v>118.17000000000016</v>
      </c>
      <c r="BS262" s="70">
        <f t="shared" si="744"/>
        <v>1108.31</v>
      </c>
      <c r="BT262" s="70">
        <f t="shared" si="744"/>
        <v>293.94</v>
      </c>
      <c r="BU262" s="70">
        <f t="shared" si="744"/>
        <v>845.51</v>
      </c>
      <c r="BV262" s="70">
        <f t="shared" si="744"/>
        <v>214.5</v>
      </c>
      <c r="BW262" s="70">
        <f t="shared" si="744"/>
        <v>629.66</v>
      </c>
      <c r="BX262" s="70">
        <f t="shared" si="744"/>
        <v>126.68</v>
      </c>
      <c r="BY262" s="70">
        <f t="shared" si="744"/>
        <v>0</v>
      </c>
      <c r="BZ262" s="70">
        <f>+BZ261+BZ260+BZ256+BZ253+BZ248</f>
        <v>0</v>
      </c>
      <c r="CA262" s="70">
        <f t="shared" ref="CA262:EL262" si="745">+CA261+CA260+CA256+CA253+CA248</f>
        <v>14034.91</v>
      </c>
      <c r="CB262" s="70">
        <f t="shared" si="745"/>
        <v>3692.63</v>
      </c>
      <c r="CC262" s="70">
        <f t="shared" si="745"/>
        <v>15438.41</v>
      </c>
      <c r="CD262" s="70">
        <f t="shared" si="745"/>
        <v>4246.53</v>
      </c>
      <c r="CE262" s="70">
        <f t="shared" si="745"/>
        <v>1288</v>
      </c>
      <c r="CF262" s="70">
        <f t="shared" si="745"/>
        <v>355</v>
      </c>
      <c r="CG262" s="70">
        <f t="shared" si="745"/>
        <v>3508.7300000000005</v>
      </c>
      <c r="CH262" s="96">
        <f t="shared" si="745"/>
        <v>923.17</v>
      </c>
      <c r="CI262" s="70">
        <f t="shared" si="745"/>
        <v>0</v>
      </c>
      <c r="CJ262" s="70">
        <f t="shared" si="745"/>
        <v>0</v>
      </c>
      <c r="CK262" s="70">
        <f t="shared" si="745"/>
        <v>3754.75</v>
      </c>
      <c r="CL262" s="70">
        <f t="shared" si="745"/>
        <v>706</v>
      </c>
      <c r="CM262" s="70">
        <f t="shared" si="745"/>
        <v>50</v>
      </c>
      <c r="CN262" s="70">
        <f t="shared" si="745"/>
        <v>193.7</v>
      </c>
      <c r="CO262" s="70">
        <f t="shared" si="745"/>
        <v>16724.88</v>
      </c>
      <c r="CP262" s="70">
        <f t="shared" si="745"/>
        <v>3827.7</v>
      </c>
      <c r="CQ262" s="70">
        <f t="shared" si="745"/>
        <v>15019</v>
      </c>
      <c r="CR262" s="70">
        <f t="shared" si="745"/>
        <v>2824</v>
      </c>
      <c r="CS262" s="70">
        <f t="shared" si="745"/>
        <v>14845.390000000001</v>
      </c>
      <c r="CT262" s="70">
        <f t="shared" si="745"/>
        <v>2912.7</v>
      </c>
      <c r="CU262" s="70">
        <f t="shared" si="745"/>
        <v>15080.390000000001</v>
      </c>
      <c r="CV262" s="70">
        <f t="shared" si="745"/>
        <v>3706.12</v>
      </c>
      <c r="CW262" s="70">
        <f t="shared" si="745"/>
        <v>3870.1099999999997</v>
      </c>
      <c r="CX262" s="70">
        <f t="shared" si="745"/>
        <v>832.93000000000006</v>
      </c>
      <c r="CY262" s="70">
        <f t="shared" si="745"/>
        <v>25</v>
      </c>
      <c r="CZ262" s="70">
        <f t="shared" si="745"/>
        <v>128.82999999999998</v>
      </c>
      <c r="DA262" s="70">
        <f t="shared" si="745"/>
        <v>8987.86</v>
      </c>
      <c r="DB262" s="70">
        <f t="shared" si="745"/>
        <v>2216.46</v>
      </c>
      <c r="DC262" s="70">
        <f t="shared" si="745"/>
        <v>8689.6200000000008</v>
      </c>
      <c r="DD262" s="70">
        <f t="shared" si="745"/>
        <v>2011.8</v>
      </c>
      <c r="DE262" s="70">
        <f t="shared" si="745"/>
        <v>298.2399999999999</v>
      </c>
      <c r="DF262" s="70">
        <f t="shared" si="745"/>
        <v>204.65999999999997</v>
      </c>
      <c r="DG262" s="70">
        <f t="shared" si="745"/>
        <v>3747.46</v>
      </c>
      <c r="DH262" s="70">
        <f t="shared" si="745"/>
        <v>894.31</v>
      </c>
      <c r="DI262" s="70">
        <f t="shared" si="745"/>
        <v>3404.1400000000003</v>
      </c>
      <c r="DJ262" s="70">
        <f t="shared" si="745"/>
        <v>743.67000000000007</v>
      </c>
      <c r="DK262" s="70">
        <f t="shared" si="745"/>
        <v>75.05</v>
      </c>
      <c r="DL262" s="70">
        <f t="shared" si="745"/>
        <v>106.39</v>
      </c>
      <c r="DM262" s="70">
        <f t="shared" si="745"/>
        <v>12467.05</v>
      </c>
      <c r="DN262" s="70">
        <f t="shared" si="745"/>
        <v>3066.52</v>
      </c>
      <c r="DO262" s="70">
        <f t="shared" si="745"/>
        <v>12365.43</v>
      </c>
      <c r="DP262" s="70">
        <f t="shared" si="745"/>
        <v>2927.79</v>
      </c>
      <c r="DQ262" s="70">
        <f t="shared" si="745"/>
        <v>101.61999999999999</v>
      </c>
      <c r="DR262" s="70">
        <f t="shared" si="745"/>
        <v>138.72999999999999</v>
      </c>
      <c r="DS262" s="70">
        <f t="shared" si="745"/>
        <v>1236.5430000000001</v>
      </c>
      <c r="DT262" s="70">
        <f t="shared" si="745"/>
        <v>292.779</v>
      </c>
      <c r="DU262" s="70">
        <f t="shared" si="745"/>
        <v>1134.923</v>
      </c>
      <c r="DV262" s="70">
        <f t="shared" si="745"/>
        <v>154.04900000000001</v>
      </c>
      <c r="DW262" s="70">
        <f t="shared" si="745"/>
        <v>0</v>
      </c>
      <c r="DX262" s="70">
        <f t="shared" si="745"/>
        <v>14.04</v>
      </c>
      <c r="DY262" s="70">
        <f t="shared" si="745"/>
        <v>1222.04</v>
      </c>
      <c r="DZ262" s="70">
        <f t="shared" si="745"/>
        <v>522.61</v>
      </c>
      <c r="EA262" s="70">
        <f t="shared" si="745"/>
        <v>12</v>
      </c>
      <c r="EB262" s="96">
        <f t="shared" si="745"/>
        <v>250</v>
      </c>
      <c r="EC262" s="70">
        <f t="shared" si="745"/>
        <v>13701.09</v>
      </c>
      <c r="ED262" s="70">
        <f t="shared" si="745"/>
        <v>3839.13</v>
      </c>
      <c r="EE262" s="70">
        <f t="shared" si="745"/>
        <v>13341.58</v>
      </c>
      <c r="EF262" s="70">
        <f t="shared" si="745"/>
        <v>3417.36</v>
      </c>
      <c r="EG262" s="70" t="e">
        <f t="shared" si="745"/>
        <v>#DIV/0!</v>
      </c>
      <c r="EH262" s="70" t="e">
        <f t="shared" si="745"/>
        <v>#DIV/0!</v>
      </c>
      <c r="EI262" s="70">
        <f t="shared" si="745"/>
        <v>359.51</v>
      </c>
      <c r="EJ262" s="70">
        <f t="shared" si="745"/>
        <v>421.77</v>
      </c>
      <c r="EK262" s="70">
        <f t="shared" si="745"/>
        <v>1212.8800000000001</v>
      </c>
      <c r="EL262" s="70">
        <f t="shared" si="745"/>
        <v>310.67</v>
      </c>
      <c r="EM262" s="70">
        <f t="shared" ref="EM262:FB262" si="746">+EM261+EM260+EM256+EM253+EM248</f>
        <v>853.37</v>
      </c>
      <c r="EN262" s="70">
        <f t="shared" si="746"/>
        <v>-111.1</v>
      </c>
      <c r="EO262" s="70">
        <f t="shared" si="746"/>
        <v>1239.3800000000001</v>
      </c>
      <c r="EP262" s="70">
        <f t="shared" si="746"/>
        <v>306.25</v>
      </c>
      <c r="EQ262" s="79"/>
      <c r="ER262" s="62"/>
      <c r="ES262" s="62">
        <f t="shared" si="746"/>
        <v>674.25</v>
      </c>
      <c r="ET262" s="79"/>
      <c r="EU262" s="5">
        <f t="shared" si="642"/>
        <v>443.4399999999996</v>
      </c>
      <c r="EV262" s="5">
        <f t="shared" si="642"/>
        <v>91.449999999999818</v>
      </c>
      <c r="EW262" s="62">
        <f t="shared" si="746"/>
        <v>15383.91</v>
      </c>
      <c r="EX262" s="62">
        <f t="shared" si="746"/>
        <v>4236.83</v>
      </c>
      <c r="EY262" s="62">
        <f t="shared" si="746"/>
        <v>17901.21</v>
      </c>
      <c r="EZ262" s="62">
        <f t="shared" si="746"/>
        <v>4476.16</v>
      </c>
      <c r="FA262" s="62">
        <f t="shared" si="746"/>
        <v>0</v>
      </c>
      <c r="FB262" s="62">
        <f t="shared" si="746"/>
        <v>209</v>
      </c>
    </row>
    <row r="263" spans="1:161" ht="18.75" x14ac:dyDescent="0.25">
      <c r="A263" s="68">
        <v>1</v>
      </c>
      <c r="B263" s="68" t="s">
        <v>533</v>
      </c>
      <c r="C263" s="91" t="s">
        <v>122</v>
      </c>
      <c r="D263" s="67" t="s">
        <v>534</v>
      </c>
      <c r="E263" s="69" t="s">
        <v>535</v>
      </c>
      <c r="F263" s="40">
        <v>2829</v>
      </c>
      <c r="G263" s="40">
        <v>714.89999999999986</v>
      </c>
      <c r="H263" s="40">
        <v>2829</v>
      </c>
      <c r="I263" s="70">
        <v>714.89999999999986</v>
      </c>
      <c r="J263" s="71">
        <v>3220</v>
      </c>
      <c r="K263" s="71">
        <v>0</v>
      </c>
      <c r="L263" s="71">
        <v>0</v>
      </c>
      <c r="M263" s="71">
        <f t="shared" si="733"/>
        <v>3220</v>
      </c>
      <c r="N263" s="71">
        <v>0</v>
      </c>
      <c r="O263" s="71">
        <v>0</v>
      </c>
      <c r="P263" s="71">
        <v>0</v>
      </c>
      <c r="Q263" s="71">
        <f t="shared" ref="Q263:Q264" si="747">+P263+O263+N263</f>
        <v>0</v>
      </c>
      <c r="R263" s="71">
        <f t="shared" si="735"/>
        <v>3220</v>
      </c>
      <c r="S263" s="71">
        <v>500.33</v>
      </c>
      <c r="T263" s="92"/>
      <c r="U263" s="92"/>
      <c r="V263" s="70">
        <f t="shared" ref="V263:V264" si="748">ROUND(H263*1.0583,2)</f>
        <v>2993.93</v>
      </c>
      <c r="W263" s="70">
        <f t="shared" ref="W263:W264" si="749">ROUND(I263*1.0327,2)</f>
        <v>738.28</v>
      </c>
      <c r="X263" s="70">
        <f t="shared" si="716"/>
        <v>226.07000000000016</v>
      </c>
      <c r="Y263" s="70">
        <f t="shared" si="716"/>
        <v>-237.95</v>
      </c>
      <c r="Z263" s="70">
        <v>2993.93</v>
      </c>
      <c r="AA263" s="70"/>
      <c r="AB263" s="70">
        <f t="shared" si="742"/>
        <v>2993.93</v>
      </c>
      <c r="AC263" s="43">
        <f t="shared" si="743"/>
        <v>0</v>
      </c>
      <c r="AD263" s="70">
        <f t="shared" ref="AD263:AE264" si="750">IF(X263&gt;0,V263,R263)</f>
        <v>2993.93</v>
      </c>
      <c r="AE263" s="70">
        <f t="shared" si="750"/>
        <v>500.33</v>
      </c>
      <c r="AF263" s="70">
        <f t="shared" si="718"/>
        <v>451.4</v>
      </c>
      <c r="AG263" s="43">
        <f t="shared" si="719"/>
        <v>748</v>
      </c>
      <c r="AH263" s="43">
        <f t="shared" si="719"/>
        <v>125</v>
      </c>
      <c r="AI263" s="93">
        <f t="shared" si="720"/>
        <v>249</v>
      </c>
      <c r="AJ263" s="43">
        <f t="shared" si="720"/>
        <v>42</v>
      </c>
      <c r="AK263" s="43"/>
      <c r="AL263" s="43">
        <v>170</v>
      </c>
      <c r="AM263" s="43">
        <f t="shared" si="721"/>
        <v>748.48</v>
      </c>
      <c r="AN263" s="43">
        <f t="shared" si="722"/>
        <v>121.83</v>
      </c>
      <c r="AO263" s="43"/>
      <c r="AP263" s="43"/>
      <c r="AQ263" s="43">
        <f t="shared" si="723"/>
        <v>1496.48</v>
      </c>
      <c r="AR263" s="43">
        <f t="shared" si="723"/>
        <v>416.83</v>
      </c>
      <c r="AS263" s="43"/>
      <c r="AT263" s="43"/>
      <c r="AU263" s="43">
        <f t="shared" si="623"/>
        <v>748.48</v>
      </c>
      <c r="AV263" s="43">
        <f>ROUND(AE263*25%,2)</f>
        <v>125.08</v>
      </c>
      <c r="AW263" s="43">
        <v>280</v>
      </c>
      <c r="AX263" s="43">
        <v>179.92</v>
      </c>
      <c r="AY263" s="43">
        <f t="shared" si="724"/>
        <v>2773.96</v>
      </c>
      <c r="AZ263" s="43">
        <f t="shared" si="724"/>
        <v>763.82999999999993</v>
      </c>
      <c r="BA263" s="43">
        <f t="shared" si="725"/>
        <v>3537.79</v>
      </c>
      <c r="BB263" s="60">
        <v>2379.86</v>
      </c>
      <c r="BC263" s="60">
        <v>807.06</v>
      </c>
      <c r="BD263" s="60">
        <f t="shared" si="726"/>
        <v>394.09999999999991</v>
      </c>
      <c r="BE263" s="60">
        <f t="shared" si="726"/>
        <v>-43.230000000000018</v>
      </c>
      <c r="BF263" s="60">
        <f t="shared" si="727"/>
        <v>475.97</v>
      </c>
      <c r="BG263" s="60">
        <f t="shared" si="727"/>
        <v>161.41</v>
      </c>
      <c r="BH263" s="43">
        <v>0</v>
      </c>
      <c r="BI263" s="43">
        <v>14.82</v>
      </c>
      <c r="BJ263" s="43"/>
      <c r="BK263" s="43"/>
      <c r="BL263" s="43">
        <f t="shared" si="739"/>
        <v>2773.96</v>
      </c>
      <c r="BM263" s="43">
        <f t="shared" si="739"/>
        <v>778.65</v>
      </c>
      <c r="BN263" s="43">
        <f t="shared" ref="BN263:BN309" si="751">BL263+BM263</f>
        <v>3552.61</v>
      </c>
      <c r="BO263" s="43">
        <v>2649.49</v>
      </c>
      <c r="BP263" s="93">
        <v>816.61</v>
      </c>
      <c r="BQ263" s="43">
        <f t="shared" ref="BQ263:BR309" si="752">BL263-BO263</f>
        <v>124.47000000000025</v>
      </c>
      <c r="BR263" s="43">
        <f t="shared" si="752"/>
        <v>-37.960000000000036</v>
      </c>
      <c r="BS263" s="43">
        <f t="shared" ref="BS263:BT309" si="753">ROUND(BO263/11,2)</f>
        <v>240.86</v>
      </c>
      <c r="BT263" s="43">
        <f t="shared" si="753"/>
        <v>74.239999999999995</v>
      </c>
      <c r="BU263" s="43">
        <v>140</v>
      </c>
      <c r="BV263" s="43">
        <v>46.64</v>
      </c>
      <c r="BW263" s="43">
        <v>14.85</v>
      </c>
      <c r="BX263" s="43"/>
      <c r="BY263" s="43"/>
      <c r="BZ263" s="43"/>
      <c r="CA263" s="43">
        <v>2928.81</v>
      </c>
      <c r="CB263" s="43">
        <v>825.29</v>
      </c>
      <c r="CC263" s="92">
        <v>3221.69</v>
      </c>
      <c r="CD263" s="92">
        <v>949.08</v>
      </c>
      <c r="CE263" s="92">
        <v>268</v>
      </c>
      <c r="CF263" s="92">
        <v>79</v>
      </c>
      <c r="CG263" s="92">
        <f t="shared" ref="CG263:CH309" si="754">ROUND(CA263/12*3,2)</f>
        <v>732.2</v>
      </c>
      <c r="CH263" s="92">
        <f t="shared" si="754"/>
        <v>206.32</v>
      </c>
      <c r="CI263" s="43"/>
      <c r="CJ263" s="43"/>
      <c r="CK263" s="72">
        <f>1000-150</f>
        <v>850</v>
      </c>
      <c r="CL263" s="43">
        <v>130</v>
      </c>
      <c r="CM263" s="43"/>
      <c r="CN263" s="43"/>
      <c r="CO263" s="43">
        <v>3280</v>
      </c>
      <c r="CP263" s="43">
        <v>450</v>
      </c>
      <c r="CQ263" s="43">
        <f t="shared" ref="CQ263:CR309" si="755">ROUND(CK263/3*12,2)</f>
        <v>3400</v>
      </c>
      <c r="CR263" s="43">
        <f t="shared" si="755"/>
        <v>520</v>
      </c>
      <c r="CS263" s="43">
        <f t="shared" ref="CS263:CV309" si="756">IF(CO263&lt;CQ263,CO263,CQ263)</f>
        <v>3280</v>
      </c>
      <c r="CT263" s="43">
        <f t="shared" si="756"/>
        <v>450</v>
      </c>
      <c r="CU263" s="43">
        <f t="shared" si="756"/>
        <v>3280</v>
      </c>
      <c r="CV263" s="43">
        <f t="shared" si="756"/>
        <v>450</v>
      </c>
      <c r="CW263" s="43">
        <f t="shared" ref="CW263:CX309" si="757">ROUND(CU263*25%,2)</f>
        <v>820</v>
      </c>
      <c r="CX263" s="43">
        <f>ROUND(CV263*25%,2)-30</f>
        <v>82.5</v>
      </c>
      <c r="CY263" s="43"/>
      <c r="CZ263" s="43"/>
      <c r="DA263" s="43">
        <f t="shared" ref="DA263:DB309" si="758">+CY263+CW263+CM263+CK263+CE263</f>
        <v>1938</v>
      </c>
      <c r="DB263" s="43">
        <f t="shared" si="758"/>
        <v>291.5</v>
      </c>
      <c r="DC263" s="43">
        <v>1715.58</v>
      </c>
      <c r="DD263" s="43">
        <v>273.37</v>
      </c>
      <c r="DE263" s="43">
        <f t="shared" ref="DE263:DF309" si="759">+DA263-DC263</f>
        <v>222.42000000000007</v>
      </c>
      <c r="DF263" s="43">
        <f t="shared" si="759"/>
        <v>18.129999999999995</v>
      </c>
      <c r="DG263" s="43">
        <f>ROUND(0.25*(MIN(CU263,EW263)),2)</f>
        <v>820</v>
      </c>
      <c r="DH263" s="43">
        <f>ROUND(0.25*(MIN(CV263,EX263)),2)</f>
        <v>112.5</v>
      </c>
      <c r="DI263" s="43">
        <f>+DG263-DE263</f>
        <v>597.57999999999993</v>
      </c>
      <c r="DJ263" s="43">
        <f>+DH263-DF263</f>
        <v>94.37</v>
      </c>
      <c r="DK263" s="43"/>
      <c r="DL263" s="43"/>
      <c r="DM263" s="43">
        <f t="shared" ref="DM263:DN309" si="760">+DI263+DA263+DK263</f>
        <v>2535.58</v>
      </c>
      <c r="DN263" s="43">
        <f t="shared" si="760"/>
        <v>385.87</v>
      </c>
      <c r="DO263" s="94">
        <v>2456.5100000000002</v>
      </c>
      <c r="DP263" s="95">
        <v>386.13</v>
      </c>
      <c r="DQ263" s="60">
        <f t="shared" ref="DQ263:DR309" si="761">ROUND(DM263-DO263,2)</f>
        <v>79.069999999999993</v>
      </c>
      <c r="DR263" s="60">
        <f t="shared" si="761"/>
        <v>-0.26</v>
      </c>
      <c r="DS263" s="60">
        <f t="shared" ref="DS263:DT309" si="762">DO263/10</f>
        <v>245.65100000000001</v>
      </c>
      <c r="DT263" s="60">
        <f t="shared" si="762"/>
        <v>38.613</v>
      </c>
      <c r="DU263" s="60">
        <f t="shared" ref="DU263:DV309" si="763">DS263-DQ263</f>
        <v>166.58100000000002</v>
      </c>
      <c r="DV263" s="60">
        <f t="shared" si="763"/>
        <v>38.872999999999998</v>
      </c>
      <c r="DW263" s="60"/>
      <c r="DX263" s="60"/>
      <c r="DY263" s="60">
        <f t="shared" si="701"/>
        <v>166.58</v>
      </c>
      <c r="DZ263" s="60">
        <f t="shared" si="701"/>
        <v>38.869999999999997</v>
      </c>
      <c r="EA263" s="60"/>
      <c r="EB263" s="60">
        <v>125</v>
      </c>
      <c r="EC263" s="43">
        <f t="shared" ref="EC263:ED309" si="764">+DY263+DM263+EA263</f>
        <v>2702.16</v>
      </c>
      <c r="ED263" s="43">
        <f t="shared" si="764"/>
        <v>549.74</v>
      </c>
      <c r="EE263" s="43">
        <v>2693.85</v>
      </c>
      <c r="EF263" s="43">
        <v>423.37</v>
      </c>
      <c r="EG263" s="43">
        <f t="shared" si="607"/>
        <v>99.69</v>
      </c>
      <c r="EH263" s="43">
        <f t="shared" si="607"/>
        <v>77.010000000000005</v>
      </c>
      <c r="EI263" s="43">
        <f t="shared" ref="EI263:EJ309" si="765">ROUND(EC263-EE263,2)</f>
        <v>8.31</v>
      </c>
      <c r="EJ263" s="43">
        <f t="shared" si="765"/>
        <v>126.37</v>
      </c>
      <c r="EK263" s="43">
        <f t="shared" ref="EK263:EL309" si="766">ROUND(EE263/11,2)</f>
        <v>244.9</v>
      </c>
      <c r="EL263" s="43">
        <f t="shared" si="766"/>
        <v>38.49</v>
      </c>
      <c r="EM263" s="43">
        <f t="shared" ref="EM263:EN309" si="767">+EK263-EI263</f>
        <v>236.59</v>
      </c>
      <c r="EN263" s="43">
        <f t="shared" si="767"/>
        <v>-87.88</v>
      </c>
      <c r="EO263" s="43">
        <v>300</v>
      </c>
      <c r="EP263" s="43">
        <v>50</v>
      </c>
      <c r="EQ263" s="5"/>
      <c r="ER263" s="5"/>
      <c r="ES263" s="5"/>
      <c r="ET263" s="5"/>
      <c r="EU263" s="5">
        <f t="shared" si="642"/>
        <v>376.07000000000016</v>
      </c>
      <c r="EV263" s="5">
        <f t="shared" si="642"/>
        <v>148.38</v>
      </c>
      <c r="EW263">
        <v>3378.23</v>
      </c>
      <c r="EX263" s="5">
        <v>748.12</v>
      </c>
      <c r="EY263" s="5">
        <v>3544.46</v>
      </c>
      <c r="EZ263" s="5">
        <v>1198.25</v>
      </c>
    </row>
    <row r="264" spans="1:161" ht="18.75" x14ac:dyDescent="0.25">
      <c r="A264" s="68">
        <v>2</v>
      </c>
      <c r="B264" s="68" t="s">
        <v>536</v>
      </c>
      <c r="C264" s="91" t="s">
        <v>122</v>
      </c>
      <c r="D264" s="67" t="s">
        <v>537</v>
      </c>
      <c r="E264" s="69" t="s">
        <v>538</v>
      </c>
      <c r="F264" s="40">
        <v>697.83</v>
      </c>
      <c r="G264" s="40">
        <v>89.22</v>
      </c>
      <c r="H264" s="40">
        <v>697.83</v>
      </c>
      <c r="I264" s="70">
        <v>89.22</v>
      </c>
      <c r="J264" s="71">
        <v>750</v>
      </c>
      <c r="K264" s="71">
        <v>0</v>
      </c>
      <c r="L264" s="71">
        <v>0</v>
      </c>
      <c r="M264" s="71">
        <f t="shared" si="733"/>
        <v>750</v>
      </c>
      <c r="N264" s="71">
        <v>0</v>
      </c>
      <c r="O264" s="71">
        <v>0</v>
      </c>
      <c r="P264" s="71">
        <v>0</v>
      </c>
      <c r="Q264" s="71">
        <f t="shared" si="747"/>
        <v>0</v>
      </c>
      <c r="R264" s="71">
        <f t="shared" si="735"/>
        <v>750</v>
      </c>
      <c r="S264" s="71">
        <v>95</v>
      </c>
      <c r="T264" s="92"/>
      <c r="U264" s="92"/>
      <c r="V264" s="70">
        <f t="shared" si="748"/>
        <v>738.51</v>
      </c>
      <c r="W264" s="70">
        <f t="shared" si="749"/>
        <v>92.14</v>
      </c>
      <c r="X264" s="70">
        <f t="shared" si="716"/>
        <v>11.490000000000009</v>
      </c>
      <c r="Y264" s="70">
        <f t="shared" si="716"/>
        <v>2.8599999999999994</v>
      </c>
      <c r="Z264" s="70">
        <v>738.51</v>
      </c>
      <c r="AA264" s="70"/>
      <c r="AB264" s="70">
        <f t="shared" si="742"/>
        <v>738.51</v>
      </c>
      <c r="AC264" s="43">
        <f t="shared" si="743"/>
        <v>0</v>
      </c>
      <c r="AD264" s="70">
        <f t="shared" si="750"/>
        <v>738.51</v>
      </c>
      <c r="AE264" s="70">
        <f>IF(Y264&gt;0,W264,S264)-61.14</f>
        <v>31</v>
      </c>
      <c r="AF264" s="70">
        <f t="shared" si="718"/>
        <v>85.71</v>
      </c>
      <c r="AG264" s="43">
        <f t="shared" si="719"/>
        <v>185</v>
      </c>
      <c r="AH264" s="43">
        <v>23</v>
      </c>
      <c r="AI264" s="93">
        <f t="shared" si="720"/>
        <v>62</v>
      </c>
      <c r="AJ264" s="43">
        <v>8</v>
      </c>
      <c r="AK264" s="43"/>
      <c r="AL264" s="43"/>
      <c r="AM264" s="43">
        <f t="shared" si="721"/>
        <v>184.63</v>
      </c>
      <c r="AN264" s="43">
        <f>ROUND(AE264*24.35%,2)-7.55</f>
        <v>0</v>
      </c>
      <c r="AO264" s="43"/>
      <c r="AP264" s="43"/>
      <c r="AQ264" s="43">
        <f t="shared" si="723"/>
        <v>369.63</v>
      </c>
      <c r="AR264" s="43">
        <f t="shared" si="723"/>
        <v>23</v>
      </c>
      <c r="AS264" s="43"/>
      <c r="AT264" s="43"/>
      <c r="AU264" s="43">
        <f t="shared" si="623"/>
        <v>184.63</v>
      </c>
      <c r="AV264" s="43">
        <f>ROUND(AE264*25%,2)-7.75</f>
        <v>0</v>
      </c>
      <c r="AW264" s="43">
        <v>10</v>
      </c>
      <c r="AX264" s="43"/>
      <c r="AY264" s="43">
        <f t="shared" si="724"/>
        <v>626.26</v>
      </c>
      <c r="AZ264" s="43">
        <f t="shared" si="724"/>
        <v>31</v>
      </c>
      <c r="BA264" s="43">
        <f t="shared" si="725"/>
        <v>657.26</v>
      </c>
      <c r="BB264" s="60">
        <v>624.62</v>
      </c>
      <c r="BC264" s="60">
        <v>10.61</v>
      </c>
      <c r="BD264" s="60">
        <f t="shared" si="726"/>
        <v>1.6399999999999864</v>
      </c>
      <c r="BE264" s="60">
        <f t="shared" si="726"/>
        <v>20.39</v>
      </c>
      <c r="BF264" s="60">
        <f t="shared" si="727"/>
        <v>124.92</v>
      </c>
      <c r="BG264" s="60">
        <f t="shared" si="727"/>
        <v>2.12</v>
      </c>
      <c r="BH264" s="43">
        <v>59.14</v>
      </c>
      <c r="BI264" s="43">
        <v>0</v>
      </c>
      <c r="BJ264" s="43">
        <v>7</v>
      </c>
      <c r="BK264" s="43"/>
      <c r="BL264" s="43">
        <f t="shared" si="739"/>
        <v>692.4</v>
      </c>
      <c r="BM264" s="43">
        <f t="shared" si="739"/>
        <v>31</v>
      </c>
      <c r="BN264" s="43">
        <f t="shared" si="751"/>
        <v>723.4</v>
      </c>
      <c r="BO264" s="43">
        <v>690.73</v>
      </c>
      <c r="BP264" s="93">
        <v>12.11</v>
      </c>
      <c r="BQ264" s="43">
        <f t="shared" si="752"/>
        <v>1.6699999999999591</v>
      </c>
      <c r="BR264" s="43">
        <f t="shared" si="752"/>
        <v>18.89</v>
      </c>
      <c r="BS264" s="43">
        <f t="shared" si="753"/>
        <v>62.79</v>
      </c>
      <c r="BT264" s="43">
        <f t="shared" si="753"/>
        <v>1.1000000000000001</v>
      </c>
      <c r="BU264" s="43">
        <v>60</v>
      </c>
      <c r="BV264" s="43">
        <v>0</v>
      </c>
      <c r="BW264" s="43">
        <v>25</v>
      </c>
      <c r="BX264" s="43"/>
      <c r="BY264" s="43"/>
      <c r="BZ264" s="43"/>
      <c r="CA264" s="43">
        <v>777.4</v>
      </c>
      <c r="CB264" s="43">
        <v>31</v>
      </c>
      <c r="CC264" s="92">
        <v>855.14</v>
      </c>
      <c r="CD264" s="92">
        <v>35.65</v>
      </c>
      <c r="CE264" s="92">
        <v>71</v>
      </c>
      <c r="CF264" s="92">
        <f>3+114</f>
        <v>117</v>
      </c>
      <c r="CG264" s="92">
        <f t="shared" si="754"/>
        <v>194.35</v>
      </c>
      <c r="CH264" s="92">
        <f t="shared" si="754"/>
        <v>7.75</v>
      </c>
      <c r="CI264" s="43"/>
      <c r="CJ264" s="43"/>
      <c r="CK264" s="43">
        <v>236</v>
      </c>
      <c r="CL264" s="43">
        <v>0</v>
      </c>
      <c r="CM264" s="43"/>
      <c r="CN264" s="43"/>
      <c r="CO264" s="43">
        <v>850</v>
      </c>
      <c r="CP264" s="43">
        <f>113+4</f>
        <v>117</v>
      </c>
      <c r="CQ264" s="43">
        <f t="shared" si="755"/>
        <v>944</v>
      </c>
      <c r="CR264" s="43">
        <f>ROUND(CL264/3*12,2)+117</f>
        <v>117</v>
      </c>
      <c r="CS264" s="43">
        <f t="shared" si="756"/>
        <v>850</v>
      </c>
      <c r="CT264" s="43">
        <f t="shared" si="756"/>
        <v>117</v>
      </c>
      <c r="CU264" s="43">
        <f t="shared" si="756"/>
        <v>850</v>
      </c>
      <c r="CV264" s="43">
        <f>IF(CR264&lt;CT264,CR264,CT264)+10</f>
        <v>127</v>
      </c>
      <c r="CW264" s="43">
        <f t="shared" si="757"/>
        <v>212.5</v>
      </c>
      <c r="CX264" s="43">
        <v>0</v>
      </c>
      <c r="CY264" s="43"/>
      <c r="CZ264" s="43">
        <v>10</v>
      </c>
      <c r="DA264" s="43">
        <v>519.5</v>
      </c>
      <c r="DB264" s="43">
        <v>127</v>
      </c>
      <c r="DC264" s="43">
        <v>483.56</v>
      </c>
      <c r="DD264" s="43">
        <v>120.84</v>
      </c>
      <c r="DE264" s="43">
        <v>35.94</v>
      </c>
      <c r="DF264" s="43">
        <v>6.1599999999999966</v>
      </c>
      <c r="DG264" s="43">
        <v>212.5</v>
      </c>
      <c r="DH264" s="43">
        <v>29.25</v>
      </c>
      <c r="DI264" s="43">
        <v>176.56</v>
      </c>
      <c r="DJ264" s="43">
        <v>0</v>
      </c>
      <c r="DK264" s="43">
        <v>25</v>
      </c>
      <c r="DL264" s="43"/>
      <c r="DM264" s="43">
        <f t="shared" si="760"/>
        <v>721.06</v>
      </c>
      <c r="DN264" s="43">
        <f t="shared" si="760"/>
        <v>127</v>
      </c>
      <c r="DO264" s="94">
        <v>714.01</v>
      </c>
      <c r="DP264" s="103">
        <v>125.41</v>
      </c>
      <c r="DQ264" s="60">
        <f t="shared" si="761"/>
        <v>7.05</v>
      </c>
      <c r="DR264" s="60">
        <f t="shared" si="761"/>
        <v>1.59</v>
      </c>
      <c r="DS264" s="60">
        <f t="shared" si="762"/>
        <v>71.400999999999996</v>
      </c>
      <c r="DT264" s="60">
        <f t="shared" si="762"/>
        <v>12.541</v>
      </c>
      <c r="DU264" s="60">
        <f t="shared" si="763"/>
        <v>64.350999999999999</v>
      </c>
      <c r="DV264" s="60">
        <f t="shared" si="763"/>
        <v>10.951000000000001</v>
      </c>
      <c r="DW264" s="60"/>
      <c r="DX264" s="60"/>
      <c r="DY264" s="60">
        <f t="shared" si="701"/>
        <v>64.349999999999994</v>
      </c>
      <c r="DZ264" s="60">
        <v>70</v>
      </c>
      <c r="EA264" s="60">
        <v>25</v>
      </c>
      <c r="EB264" s="60"/>
      <c r="EC264" s="43">
        <f t="shared" si="764"/>
        <v>810.41</v>
      </c>
      <c r="ED264" s="43">
        <f t="shared" si="764"/>
        <v>197</v>
      </c>
      <c r="EE264" s="43">
        <v>801.19</v>
      </c>
      <c r="EF264" s="43">
        <v>128.91999999999999</v>
      </c>
      <c r="EG264" s="43">
        <f t="shared" si="607"/>
        <v>98.86</v>
      </c>
      <c r="EH264" s="43">
        <f t="shared" si="607"/>
        <v>65.44</v>
      </c>
      <c r="EI264" s="43">
        <f t="shared" si="765"/>
        <v>9.2200000000000006</v>
      </c>
      <c r="EJ264" s="43">
        <f t="shared" si="765"/>
        <v>68.08</v>
      </c>
      <c r="EK264" s="43">
        <f t="shared" si="766"/>
        <v>72.84</v>
      </c>
      <c r="EL264" s="43">
        <f t="shared" si="766"/>
        <v>11.72</v>
      </c>
      <c r="EM264" s="43">
        <f t="shared" si="767"/>
        <v>63.620000000000005</v>
      </c>
      <c r="EN264" s="43">
        <f t="shared" si="767"/>
        <v>-56.36</v>
      </c>
      <c r="EO264" s="43">
        <v>82</v>
      </c>
      <c r="EP264" s="43">
        <v>7</v>
      </c>
      <c r="EQ264" s="5"/>
      <c r="ER264" s="5"/>
      <c r="ES264" s="5"/>
      <c r="ET264" s="48">
        <v>84.11</v>
      </c>
      <c r="EU264" s="5">
        <f t="shared" si="642"/>
        <v>-12.409999999999968</v>
      </c>
      <c r="EV264" s="5">
        <f t="shared" si="642"/>
        <v>-26</v>
      </c>
      <c r="EW264" s="5">
        <v>880</v>
      </c>
      <c r="EX264" s="5">
        <v>178</v>
      </c>
      <c r="EY264" s="5">
        <v>968</v>
      </c>
      <c r="EZ264" s="5">
        <v>10</v>
      </c>
    </row>
    <row r="265" spans="1:161" ht="37.5" x14ac:dyDescent="0.25">
      <c r="A265" s="68"/>
      <c r="B265" s="68"/>
      <c r="C265" s="91"/>
      <c r="D265" s="67" t="s">
        <v>539</v>
      </c>
      <c r="E265" s="69" t="s">
        <v>540</v>
      </c>
      <c r="F265" s="40">
        <v>3526.83</v>
      </c>
      <c r="G265" s="40">
        <v>804.11999999999989</v>
      </c>
      <c r="H265" s="40">
        <v>3526.83</v>
      </c>
      <c r="I265" s="40">
        <v>804.11999999999989</v>
      </c>
      <c r="J265" s="41">
        <f t="shared" ref="J265:AA265" si="768">+J263+J264</f>
        <v>3970</v>
      </c>
      <c r="K265" s="41">
        <f t="shared" si="768"/>
        <v>0</v>
      </c>
      <c r="L265" s="41">
        <f t="shared" si="768"/>
        <v>0</v>
      </c>
      <c r="M265" s="41">
        <f t="shared" si="768"/>
        <v>3970</v>
      </c>
      <c r="N265" s="41">
        <f t="shared" si="768"/>
        <v>0</v>
      </c>
      <c r="O265" s="41">
        <f t="shared" si="768"/>
        <v>0</v>
      </c>
      <c r="P265" s="41">
        <f t="shared" si="768"/>
        <v>0</v>
      </c>
      <c r="Q265" s="41">
        <f t="shared" si="768"/>
        <v>0</v>
      </c>
      <c r="R265" s="41">
        <f t="shared" si="768"/>
        <v>3970</v>
      </c>
      <c r="S265" s="41">
        <f t="shared" si="768"/>
        <v>595.32999999999993</v>
      </c>
      <c r="T265" s="41">
        <f t="shared" si="768"/>
        <v>0</v>
      </c>
      <c r="U265" s="41">
        <f t="shared" si="768"/>
        <v>0</v>
      </c>
      <c r="V265" s="41">
        <f t="shared" si="768"/>
        <v>3732.4399999999996</v>
      </c>
      <c r="W265" s="41">
        <f t="shared" si="768"/>
        <v>830.42</v>
      </c>
      <c r="X265" s="41">
        <f t="shared" si="768"/>
        <v>237.56000000000017</v>
      </c>
      <c r="Y265" s="41">
        <f t="shared" si="768"/>
        <v>-235.08999999999997</v>
      </c>
      <c r="Z265" s="41">
        <f t="shared" si="768"/>
        <v>3732.4399999999996</v>
      </c>
      <c r="AA265" s="41">
        <f t="shared" si="768"/>
        <v>0</v>
      </c>
      <c r="AB265" s="40">
        <f t="shared" si="742"/>
        <v>3732.4399999999996</v>
      </c>
      <c r="AC265" s="43">
        <f t="shared" si="743"/>
        <v>0</v>
      </c>
      <c r="AD265" s="40">
        <f t="shared" ref="AD265:CQ265" si="769">+AD263+AD264</f>
        <v>3732.4399999999996</v>
      </c>
      <c r="AE265" s="40">
        <f t="shared" si="769"/>
        <v>531.32999999999993</v>
      </c>
      <c r="AF265" s="40">
        <f t="shared" si="769"/>
        <v>537.11</v>
      </c>
      <c r="AG265" s="40">
        <f t="shared" si="769"/>
        <v>933</v>
      </c>
      <c r="AH265" s="40">
        <f t="shared" si="769"/>
        <v>148</v>
      </c>
      <c r="AI265" s="102">
        <f t="shared" si="769"/>
        <v>311</v>
      </c>
      <c r="AJ265" s="40">
        <f t="shared" si="769"/>
        <v>50</v>
      </c>
      <c r="AK265" s="40">
        <f t="shared" si="769"/>
        <v>0</v>
      </c>
      <c r="AL265" s="40">
        <f t="shared" si="769"/>
        <v>170</v>
      </c>
      <c r="AM265" s="40">
        <f t="shared" si="769"/>
        <v>933.11</v>
      </c>
      <c r="AN265" s="40">
        <f t="shared" si="769"/>
        <v>121.83</v>
      </c>
      <c r="AO265" s="40">
        <f t="shared" si="769"/>
        <v>0</v>
      </c>
      <c r="AP265" s="40">
        <f t="shared" si="769"/>
        <v>0</v>
      </c>
      <c r="AQ265" s="40">
        <f t="shared" si="769"/>
        <v>1866.1100000000001</v>
      </c>
      <c r="AR265" s="40">
        <f t="shared" si="769"/>
        <v>439.83</v>
      </c>
      <c r="AS265" s="40">
        <f t="shared" si="769"/>
        <v>0</v>
      </c>
      <c r="AT265" s="40">
        <f t="shared" si="769"/>
        <v>0</v>
      </c>
      <c r="AU265" s="40">
        <f t="shared" si="769"/>
        <v>933.11</v>
      </c>
      <c r="AV265" s="40">
        <f t="shared" si="769"/>
        <v>125.08</v>
      </c>
      <c r="AW265" s="40">
        <f t="shared" si="769"/>
        <v>290</v>
      </c>
      <c r="AX265" s="40">
        <f t="shared" si="769"/>
        <v>179.92</v>
      </c>
      <c r="AY265" s="40">
        <f t="shared" si="769"/>
        <v>3400.2200000000003</v>
      </c>
      <c r="AZ265" s="40">
        <f t="shared" si="769"/>
        <v>794.82999999999993</v>
      </c>
      <c r="BA265" s="40">
        <f t="shared" si="769"/>
        <v>4195.05</v>
      </c>
      <c r="BB265" s="40">
        <f t="shared" si="769"/>
        <v>3004.48</v>
      </c>
      <c r="BC265" s="40">
        <f t="shared" si="769"/>
        <v>817.67</v>
      </c>
      <c r="BD265" s="40">
        <f t="shared" si="769"/>
        <v>395.7399999999999</v>
      </c>
      <c r="BE265" s="40">
        <f t="shared" si="769"/>
        <v>-22.840000000000018</v>
      </c>
      <c r="BF265" s="40">
        <f t="shared" si="769"/>
        <v>600.89</v>
      </c>
      <c r="BG265" s="40">
        <f t="shared" si="769"/>
        <v>163.53</v>
      </c>
      <c r="BH265" s="40">
        <f t="shared" si="769"/>
        <v>59.14</v>
      </c>
      <c r="BI265" s="40">
        <f t="shared" si="769"/>
        <v>14.82</v>
      </c>
      <c r="BJ265" s="40">
        <f t="shared" si="769"/>
        <v>7</v>
      </c>
      <c r="BK265" s="40">
        <f t="shared" si="769"/>
        <v>0</v>
      </c>
      <c r="BL265" s="40">
        <f t="shared" si="769"/>
        <v>3466.36</v>
      </c>
      <c r="BM265" s="40">
        <f t="shared" si="769"/>
        <v>809.65</v>
      </c>
      <c r="BN265" s="40">
        <f t="shared" si="769"/>
        <v>4276.01</v>
      </c>
      <c r="BO265" s="40">
        <f t="shared" si="769"/>
        <v>3340.22</v>
      </c>
      <c r="BP265" s="102">
        <f t="shared" si="769"/>
        <v>828.72</v>
      </c>
      <c r="BQ265" s="40">
        <f t="shared" si="769"/>
        <v>126.14000000000021</v>
      </c>
      <c r="BR265" s="40">
        <f t="shared" si="769"/>
        <v>-19.070000000000036</v>
      </c>
      <c r="BS265" s="40">
        <f t="shared" si="769"/>
        <v>303.65000000000003</v>
      </c>
      <c r="BT265" s="40">
        <f t="shared" si="769"/>
        <v>75.339999999999989</v>
      </c>
      <c r="BU265" s="40">
        <f t="shared" si="769"/>
        <v>200</v>
      </c>
      <c r="BV265" s="40">
        <f t="shared" si="769"/>
        <v>46.64</v>
      </c>
      <c r="BW265" s="40">
        <f t="shared" si="769"/>
        <v>39.85</v>
      </c>
      <c r="BX265" s="40">
        <f t="shared" si="769"/>
        <v>0</v>
      </c>
      <c r="BY265" s="40">
        <f t="shared" si="769"/>
        <v>0</v>
      </c>
      <c r="BZ265" s="40">
        <f t="shared" si="769"/>
        <v>0</v>
      </c>
      <c r="CA265" s="40">
        <f t="shared" si="769"/>
        <v>3706.21</v>
      </c>
      <c r="CB265" s="40">
        <f t="shared" si="769"/>
        <v>856.29</v>
      </c>
      <c r="CC265" s="40">
        <f t="shared" si="769"/>
        <v>4076.83</v>
      </c>
      <c r="CD265" s="40">
        <f t="shared" si="769"/>
        <v>984.73</v>
      </c>
      <c r="CE265" s="40">
        <f t="shared" si="769"/>
        <v>339</v>
      </c>
      <c r="CF265" s="40">
        <f t="shared" si="769"/>
        <v>196</v>
      </c>
      <c r="CG265" s="40">
        <f t="shared" si="769"/>
        <v>926.55000000000007</v>
      </c>
      <c r="CH265" s="102">
        <f t="shared" si="769"/>
        <v>214.07</v>
      </c>
      <c r="CI265" s="40">
        <f t="shared" si="769"/>
        <v>0</v>
      </c>
      <c r="CJ265" s="40">
        <f t="shared" si="769"/>
        <v>0</v>
      </c>
      <c r="CK265" s="40">
        <f t="shared" si="769"/>
        <v>1086</v>
      </c>
      <c r="CL265" s="40">
        <f t="shared" si="769"/>
        <v>130</v>
      </c>
      <c r="CM265" s="40">
        <f t="shared" si="769"/>
        <v>0</v>
      </c>
      <c r="CN265" s="40">
        <f t="shared" si="769"/>
        <v>0</v>
      </c>
      <c r="CO265" s="40">
        <f t="shared" si="769"/>
        <v>4130</v>
      </c>
      <c r="CP265" s="40">
        <f t="shared" si="769"/>
        <v>567</v>
      </c>
      <c r="CQ265" s="40">
        <f t="shared" si="769"/>
        <v>4344</v>
      </c>
      <c r="CR265" s="40">
        <f t="shared" ref="CR265:FE265" si="770">+CR263+CR264</f>
        <v>637</v>
      </c>
      <c r="CS265" s="40">
        <f t="shared" si="770"/>
        <v>4130</v>
      </c>
      <c r="CT265" s="40">
        <f t="shared" si="770"/>
        <v>567</v>
      </c>
      <c r="CU265" s="40">
        <f t="shared" si="770"/>
        <v>4130</v>
      </c>
      <c r="CV265" s="40">
        <f t="shared" si="770"/>
        <v>577</v>
      </c>
      <c r="CW265" s="40">
        <f t="shared" si="770"/>
        <v>1032.5</v>
      </c>
      <c r="CX265" s="40">
        <f t="shared" si="770"/>
        <v>82.5</v>
      </c>
      <c r="CY265" s="40">
        <f t="shared" si="770"/>
        <v>0</v>
      </c>
      <c r="CZ265" s="40">
        <f t="shared" si="770"/>
        <v>10</v>
      </c>
      <c r="DA265" s="40">
        <f t="shared" si="770"/>
        <v>2457.5</v>
      </c>
      <c r="DB265" s="40">
        <f t="shared" si="770"/>
        <v>418.5</v>
      </c>
      <c r="DC265" s="40">
        <f t="shared" si="770"/>
        <v>2199.14</v>
      </c>
      <c r="DD265" s="40">
        <f t="shared" si="770"/>
        <v>394.21000000000004</v>
      </c>
      <c r="DE265" s="40">
        <f t="shared" si="770"/>
        <v>258.36000000000007</v>
      </c>
      <c r="DF265" s="40">
        <f t="shared" si="770"/>
        <v>24.289999999999992</v>
      </c>
      <c r="DG265" s="40">
        <f t="shared" si="770"/>
        <v>1032.5</v>
      </c>
      <c r="DH265" s="40">
        <f t="shared" si="770"/>
        <v>141.75</v>
      </c>
      <c r="DI265" s="40">
        <f t="shared" si="770"/>
        <v>774.13999999999987</v>
      </c>
      <c r="DJ265" s="40">
        <f t="shared" si="770"/>
        <v>94.37</v>
      </c>
      <c r="DK265" s="40">
        <f t="shared" si="770"/>
        <v>25</v>
      </c>
      <c r="DL265" s="40">
        <f t="shared" si="770"/>
        <v>0</v>
      </c>
      <c r="DM265" s="40">
        <f t="shared" si="770"/>
        <v>3256.64</v>
      </c>
      <c r="DN265" s="70">
        <f t="shared" si="770"/>
        <v>512.87</v>
      </c>
      <c r="DO265" s="70">
        <f t="shared" si="770"/>
        <v>3170.5200000000004</v>
      </c>
      <c r="DP265" s="70">
        <f t="shared" si="770"/>
        <v>511.53999999999996</v>
      </c>
      <c r="DQ265" s="70">
        <f t="shared" si="770"/>
        <v>86.11999999999999</v>
      </c>
      <c r="DR265" s="70">
        <f t="shared" si="770"/>
        <v>1.33</v>
      </c>
      <c r="DS265" s="70">
        <f t="shared" si="770"/>
        <v>317.05200000000002</v>
      </c>
      <c r="DT265" s="70">
        <f t="shared" si="770"/>
        <v>51.153999999999996</v>
      </c>
      <c r="DU265" s="70">
        <f t="shared" si="770"/>
        <v>230.93200000000002</v>
      </c>
      <c r="DV265" s="70">
        <f t="shared" si="770"/>
        <v>49.823999999999998</v>
      </c>
      <c r="DW265" s="70">
        <f t="shared" si="770"/>
        <v>0</v>
      </c>
      <c r="DX265" s="70">
        <f t="shared" si="770"/>
        <v>0</v>
      </c>
      <c r="DY265" s="70">
        <f t="shared" si="770"/>
        <v>230.93</v>
      </c>
      <c r="DZ265" s="70">
        <f t="shared" si="770"/>
        <v>108.87</v>
      </c>
      <c r="EA265" s="70">
        <f t="shared" si="770"/>
        <v>25</v>
      </c>
      <c r="EB265" s="96">
        <f t="shared" si="770"/>
        <v>125</v>
      </c>
      <c r="EC265" s="70">
        <f t="shared" si="770"/>
        <v>3512.5699999999997</v>
      </c>
      <c r="ED265" s="70">
        <f t="shared" si="770"/>
        <v>746.74</v>
      </c>
      <c r="EE265" s="70">
        <f t="shared" si="770"/>
        <v>3495.04</v>
      </c>
      <c r="EF265" s="70">
        <f t="shared" si="770"/>
        <v>552.29</v>
      </c>
      <c r="EG265" s="70">
        <f t="shared" si="770"/>
        <v>198.55</v>
      </c>
      <c r="EH265" s="70">
        <f t="shared" si="770"/>
        <v>142.44999999999999</v>
      </c>
      <c r="EI265" s="70">
        <f t="shared" si="770"/>
        <v>17.53</v>
      </c>
      <c r="EJ265" s="70">
        <f t="shared" si="770"/>
        <v>194.45</v>
      </c>
      <c r="EK265" s="70">
        <f t="shared" si="770"/>
        <v>317.74</v>
      </c>
      <c r="EL265" s="70">
        <f t="shared" si="770"/>
        <v>50.21</v>
      </c>
      <c r="EM265" s="70">
        <f t="shared" si="770"/>
        <v>300.21000000000004</v>
      </c>
      <c r="EN265" s="70">
        <f t="shared" si="770"/>
        <v>-144.24</v>
      </c>
      <c r="EO265" s="70">
        <f t="shared" si="770"/>
        <v>382</v>
      </c>
      <c r="EP265" s="70">
        <f t="shared" si="770"/>
        <v>57</v>
      </c>
      <c r="EQ265" s="79"/>
      <c r="ER265" s="62"/>
      <c r="ES265" s="62">
        <f t="shared" si="770"/>
        <v>0</v>
      </c>
      <c r="ET265" s="62">
        <f t="shared" si="770"/>
        <v>84.11</v>
      </c>
      <c r="EU265" s="5">
        <f t="shared" si="642"/>
        <v>363.65999999999985</v>
      </c>
      <c r="EV265" s="5">
        <f t="shared" si="642"/>
        <v>122.38</v>
      </c>
      <c r="EW265" s="64">
        <f t="shared" si="770"/>
        <v>4258.2299999999996</v>
      </c>
      <c r="EX265" s="64">
        <f t="shared" si="770"/>
        <v>926.12</v>
      </c>
      <c r="EY265" s="64">
        <f t="shared" si="770"/>
        <v>4512.46</v>
      </c>
      <c r="EZ265" s="64">
        <f t="shared" si="770"/>
        <v>1208.25</v>
      </c>
      <c r="FA265" s="64">
        <f t="shared" si="770"/>
        <v>0</v>
      </c>
      <c r="FB265" s="64">
        <f t="shared" si="770"/>
        <v>0</v>
      </c>
      <c r="FC265" s="64">
        <f t="shared" si="770"/>
        <v>0</v>
      </c>
      <c r="FD265" s="64">
        <f t="shared" si="770"/>
        <v>0</v>
      </c>
      <c r="FE265" s="64">
        <f t="shared" si="770"/>
        <v>0</v>
      </c>
    </row>
    <row r="266" spans="1:161" ht="18.75" x14ac:dyDescent="0.25">
      <c r="A266" s="68">
        <v>1</v>
      </c>
      <c r="B266" s="68" t="s">
        <v>541</v>
      </c>
      <c r="C266" s="91" t="s">
        <v>188</v>
      </c>
      <c r="D266" s="67" t="s">
        <v>542</v>
      </c>
      <c r="E266" s="69" t="s">
        <v>543</v>
      </c>
      <c r="F266" s="40">
        <v>2282.5699999999997</v>
      </c>
      <c r="G266" s="40">
        <v>3314.62</v>
      </c>
      <c r="H266" s="40">
        <v>2282.5699999999997</v>
      </c>
      <c r="I266" s="70">
        <v>3314.62</v>
      </c>
      <c r="J266" s="71">
        <v>2170</v>
      </c>
      <c r="K266" s="41">
        <v>149.75</v>
      </c>
      <c r="L266" s="41">
        <v>0.25</v>
      </c>
      <c r="M266" s="71">
        <f t="shared" si="733"/>
        <v>2320</v>
      </c>
      <c r="N266" s="41">
        <v>0</v>
      </c>
      <c r="O266" s="41">
        <v>0</v>
      </c>
      <c r="P266" s="41">
        <v>0</v>
      </c>
      <c r="Q266" s="71">
        <f t="shared" ref="Q266" si="771">+P266+O266+N266</f>
        <v>0</v>
      </c>
      <c r="R266" s="71">
        <f t="shared" si="735"/>
        <v>2320</v>
      </c>
      <c r="S266" s="41">
        <v>3600</v>
      </c>
      <c r="T266" s="92"/>
      <c r="U266" s="92"/>
      <c r="V266" s="70">
        <f t="shared" ref="V266:V268" si="772">ROUND(H266*1.0583,2)</f>
        <v>2415.64</v>
      </c>
      <c r="W266" s="70">
        <f t="shared" ref="W266:W268" si="773">ROUND(I266*1.0327,2)</f>
        <v>3423.01</v>
      </c>
      <c r="X266" s="70">
        <f t="shared" si="716"/>
        <v>-95.639999999999873</v>
      </c>
      <c r="Y266" s="70">
        <f t="shared" si="716"/>
        <v>176.98999999999978</v>
      </c>
      <c r="Z266" s="70">
        <v>2320</v>
      </c>
      <c r="AA266" s="70"/>
      <c r="AB266" s="70">
        <f t="shared" si="742"/>
        <v>2320</v>
      </c>
      <c r="AC266" s="43">
        <f t="shared" si="743"/>
        <v>0</v>
      </c>
      <c r="AD266" s="70">
        <f t="shared" ref="AD266:AE268" si="774">IF(X266&gt;0,V266,R266)</f>
        <v>2320</v>
      </c>
      <c r="AE266" s="70">
        <f t="shared" si="774"/>
        <v>3423.01</v>
      </c>
      <c r="AF266" s="70">
        <f t="shared" si="718"/>
        <v>3247.92</v>
      </c>
      <c r="AG266" s="43">
        <f t="shared" si="719"/>
        <v>580</v>
      </c>
      <c r="AH266" s="43">
        <f t="shared" si="719"/>
        <v>856</v>
      </c>
      <c r="AI266" s="93">
        <f t="shared" si="720"/>
        <v>193</v>
      </c>
      <c r="AJ266" s="43">
        <f t="shared" si="720"/>
        <v>285</v>
      </c>
      <c r="AK266" s="43"/>
      <c r="AL266" s="43"/>
      <c r="AM266" s="43">
        <f t="shared" si="721"/>
        <v>580</v>
      </c>
      <c r="AN266" s="43">
        <f t="shared" si="722"/>
        <v>833.5</v>
      </c>
      <c r="AO266" s="43"/>
      <c r="AP266" s="43"/>
      <c r="AQ266" s="43">
        <f t="shared" si="723"/>
        <v>1160</v>
      </c>
      <c r="AR266" s="43">
        <f t="shared" si="723"/>
        <v>1689.5</v>
      </c>
      <c r="AS266" s="43"/>
      <c r="AT266" s="43"/>
      <c r="AU266" s="43">
        <f t="shared" si="623"/>
        <v>580</v>
      </c>
      <c r="AV266" s="43">
        <f t="shared" si="623"/>
        <v>855.75</v>
      </c>
      <c r="AW266" s="43"/>
      <c r="AX266" s="43"/>
      <c r="AY266" s="43">
        <f t="shared" si="724"/>
        <v>1933</v>
      </c>
      <c r="AZ266" s="43">
        <f t="shared" si="724"/>
        <v>2830.25</v>
      </c>
      <c r="BA266" s="43">
        <f t="shared" si="725"/>
        <v>4763.25</v>
      </c>
      <c r="BB266" s="60">
        <v>1806.86</v>
      </c>
      <c r="BC266" s="60">
        <v>3182.63</v>
      </c>
      <c r="BD266" s="60">
        <f t="shared" si="726"/>
        <v>126.1400000000001</v>
      </c>
      <c r="BE266" s="60">
        <f t="shared" si="726"/>
        <v>-352.38000000000011</v>
      </c>
      <c r="BF266" s="60">
        <f t="shared" si="727"/>
        <v>361.37</v>
      </c>
      <c r="BG266" s="60">
        <f t="shared" si="727"/>
        <v>636.53</v>
      </c>
      <c r="BH266" s="43">
        <v>117.62</v>
      </c>
      <c r="BI266" s="43">
        <v>450</v>
      </c>
      <c r="BJ266" s="43"/>
      <c r="BK266" s="43"/>
      <c r="BL266" s="43">
        <f t="shared" si="739"/>
        <v>2050.62</v>
      </c>
      <c r="BM266" s="43">
        <f t="shared" si="739"/>
        <v>3280.25</v>
      </c>
      <c r="BN266" s="43">
        <f t="shared" si="751"/>
        <v>5330.87</v>
      </c>
      <c r="BO266" s="43">
        <v>1997.81</v>
      </c>
      <c r="BP266" s="101">
        <v>3513.85</v>
      </c>
      <c r="BQ266" s="43">
        <f t="shared" si="752"/>
        <v>52.809999999999945</v>
      </c>
      <c r="BR266" s="43">
        <f t="shared" si="752"/>
        <v>-233.59999999999991</v>
      </c>
      <c r="BS266" s="43">
        <f t="shared" si="753"/>
        <v>181.62</v>
      </c>
      <c r="BT266" s="43">
        <f t="shared" si="753"/>
        <v>319.44</v>
      </c>
      <c r="BU266" s="43">
        <v>139.38</v>
      </c>
      <c r="BV266" s="43">
        <f>ROUND(BT266-BR266,2)</f>
        <v>553.04</v>
      </c>
      <c r="BW266" s="43"/>
      <c r="BX266" s="43">
        <f>80+21.71</f>
        <v>101.71000000000001</v>
      </c>
      <c r="BY266" s="43"/>
      <c r="BZ266" s="43"/>
      <c r="CA266" s="43">
        <v>2190</v>
      </c>
      <c r="CB266" s="43">
        <v>3935</v>
      </c>
      <c r="CC266" s="92">
        <v>2409</v>
      </c>
      <c r="CD266" s="92">
        <v>4525.25</v>
      </c>
      <c r="CE266" s="92">
        <v>201</v>
      </c>
      <c r="CF266" s="92">
        <v>377</v>
      </c>
      <c r="CG266" s="92">
        <f t="shared" si="754"/>
        <v>547.5</v>
      </c>
      <c r="CH266" s="92">
        <f t="shared" si="754"/>
        <v>983.75</v>
      </c>
      <c r="CI266" s="43"/>
      <c r="CJ266" s="43"/>
      <c r="CK266" s="72">
        <f>700-50</f>
        <v>650</v>
      </c>
      <c r="CL266" s="72">
        <f>1175-100-75</f>
        <v>1000</v>
      </c>
      <c r="CM266" s="72"/>
      <c r="CN266" s="72"/>
      <c r="CO266" s="43">
        <v>230</v>
      </c>
      <c r="CP266" s="43">
        <v>4000</v>
      </c>
      <c r="CQ266" s="43">
        <f t="shared" si="755"/>
        <v>2600</v>
      </c>
      <c r="CR266" s="43">
        <f t="shared" si="755"/>
        <v>4000</v>
      </c>
      <c r="CS266" s="43">
        <f t="shared" si="756"/>
        <v>230</v>
      </c>
      <c r="CT266" s="43">
        <f t="shared" si="756"/>
        <v>4000</v>
      </c>
      <c r="CU266" s="43">
        <v>2320</v>
      </c>
      <c r="CV266" s="43">
        <f t="shared" si="756"/>
        <v>4000</v>
      </c>
      <c r="CW266" s="43">
        <f t="shared" si="757"/>
        <v>580</v>
      </c>
      <c r="CX266" s="43">
        <f t="shared" si="757"/>
        <v>1000</v>
      </c>
      <c r="CY266" s="43"/>
      <c r="CZ266" s="43"/>
      <c r="DA266" s="43">
        <f t="shared" si="758"/>
        <v>1431</v>
      </c>
      <c r="DB266" s="43">
        <f t="shared" si="758"/>
        <v>2377</v>
      </c>
      <c r="DC266" s="43">
        <v>1336.27</v>
      </c>
      <c r="DD266" s="43">
        <v>2534.66</v>
      </c>
      <c r="DE266" s="43">
        <f t="shared" si="759"/>
        <v>94.730000000000018</v>
      </c>
      <c r="DF266" s="43">
        <f t="shared" si="759"/>
        <v>-157.65999999999985</v>
      </c>
      <c r="DG266" s="43">
        <f t="shared" ref="DG266:DH268" si="775">ROUND(0.25*(MIN(CU266,EW266)),2)</f>
        <v>580</v>
      </c>
      <c r="DH266" s="43">
        <f t="shared" si="775"/>
        <v>1000</v>
      </c>
      <c r="DI266" s="43">
        <f>+DG266-DE266</f>
        <v>485.27</v>
      </c>
      <c r="DJ266" s="43">
        <f>+DH266-DF266</f>
        <v>1157.6599999999999</v>
      </c>
      <c r="DK266" s="43">
        <v>25</v>
      </c>
      <c r="DL266" s="43">
        <v>100</v>
      </c>
      <c r="DM266" s="43">
        <f t="shared" si="760"/>
        <v>1941.27</v>
      </c>
      <c r="DN266" s="43">
        <f t="shared" si="760"/>
        <v>3634.66</v>
      </c>
      <c r="DO266" s="94">
        <v>1941.98</v>
      </c>
      <c r="DP266" s="95">
        <v>3645.53</v>
      </c>
      <c r="DQ266" s="60">
        <f t="shared" si="761"/>
        <v>-0.71</v>
      </c>
      <c r="DR266" s="60">
        <f t="shared" si="761"/>
        <v>-10.87</v>
      </c>
      <c r="DS266" s="60">
        <f t="shared" si="762"/>
        <v>194.19800000000001</v>
      </c>
      <c r="DT266" s="60">
        <f t="shared" si="762"/>
        <v>364.553</v>
      </c>
      <c r="DU266" s="60">
        <f t="shared" si="763"/>
        <v>194.90800000000002</v>
      </c>
      <c r="DV266" s="60">
        <f t="shared" si="763"/>
        <v>375.423</v>
      </c>
      <c r="DW266" s="60"/>
      <c r="DX266" s="60">
        <v>50</v>
      </c>
      <c r="DY266" s="60">
        <f t="shared" si="701"/>
        <v>194.91</v>
      </c>
      <c r="DZ266" s="60">
        <f t="shared" si="701"/>
        <v>425.42</v>
      </c>
      <c r="EA266" s="60"/>
      <c r="EB266" s="60"/>
      <c r="EC266" s="43">
        <f t="shared" si="764"/>
        <v>2136.1799999999998</v>
      </c>
      <c r="ED266" s="43">
        <f t="shared" si="764"/>
        <v>4060.08</v>
      </c>
      <c r="EE266" s="43">
        <v>2133.71</v>
      </c>
      <c r="EF266" s="43">
        <v>4028</v>
      </c>
      <c r="EG266" s="43">
        <f t="shared" si="607"/>
        <v>99.88</v>
      </c>
      <c r="EH266" s="43">
        <f t="shared" si="607"/>
        <v>99.21</v>
      </c>
      <c r="EI266" s="43">
        <f t="shared" si="765"/>
        <v>2.4700000000000002</v>
      </c>
      <c r="EJ266" s="43">
        <f t="shared" si="765"/>
        <v>32.08</v>
      </c>
      <c r="EK266" s="43">
        <f t="shared" si="766"/>
        <v>193.97</v>
      </c>
      <c r="EL266" s="43">
        <f t="shared" si="766"/>
        <v>366.18</v>
      </c>
      <c r="EM266" s="43">
        <f t="shared" si="767"/>
        <v>191.5</v>
      </c>
      <c r="EN266" s="43">
        <f t="shared" si="767"/>
        <v>334.1</v>
      </c>
      <c r="EO266" s="43">
        <v>215</v>
      </c>
      <c r="EP266" s="43">
        <v>400</v>
      </c>
      <c r="EQ266" s="5"/>
      <c r="ER266" s="5"/>
      <c r="ES266" s="5"/>
      <c r="ET266" s="5"/>
      <c r="EU266" s="5">
        <f t="shared" si="642"/>
        <v>-31.179999999999836</v>
      </c>
      <c r="EV266" s="5">
        <f t="shared" si="642"/>
        <v>39.920000000000073</v>
      </c>
      <c r="EW266" s="5">
        <v>2320</v>
      </c>
      <c r="EX266" s="5">
        <v>4500</v>
      </c>
      <c r="EY266" s="5">
        <v>2855</v>
      </c>
      <c r="EZ266" s="5">
        <v>5000</v>
      </c>
    </row>
    <row r="267" spans="1:161" ht="18.75" x14ac:dyDescent="0.25">
      <c r="A267" s="37">
        <v>2</v>
      </c>
      <c r="B267" s="37"/>
      <c r="C267" s="91" t="s">
        <v>112</v>
      </c>
      <c r="D267" s="38" t="s">
        <v>544</v>
      </c>
      <c r="E267" s="39"/>
      <c r="F267" s="40">
        <v>626.40000000000009</v>
      </c>
      <c r="G267" s="40">
        <v>33.229999999999997</v>
      </c>
      <c r="H267" s="40">
        <v>626.40000000000009</v>
      </c>
      <c r="I267" s="40">
        <v>33.229999999999997</v>
      </c>
      <c r="J267" s="41">
        <v>773.83</v>
      </c>
      <c r="K267" s="41"/>
      <c r="L267" s="41"/>
      <c r="M267" s="41">
        <f t="shared" ref="M267:M268" si="776">J267+K267+L267</f>
        <v>773.83</v>
      </c>
      <c r="N267" s="41"/>
      <c r="O267" s="41"/>
      <c r="P267" s="41"/>
      <c r="Q267" s="41">
        <f t="shared" ref="Q267:Q268" si="777">N267+O267+P267</f>
        <v>0</v>
      </c>
      <c r="R267" s="41">
        <f t="shared" si="735"/>
        <v>773.83</v>
      </c>
      <c r="S267" s="41">
        <v>0</v>
      </c>
      <c r="T267" s="92"/>
      <c r="U267" s="92"/>
      <c r="V267" s="40">
        <f t="shared" si="772"/>
        <v>662.92</v>
      </c>
      <c r="W267" s="40">
        <f t="shared" si="773"/>
        <v>34.32</v>
      </c>
      <c r="X267" s="43">
        <f t="shared" si="716"/>
        <v>110.91000000000008</v>
      </c>
      <c r="Y267" s="43">
        <f t="shared" si="716"/>
        <v>-34.32</v>
      </c>
      <c r="Z267" s="43">
        <v>662.92</v>
      </c>
      <c r="AA267" s="43"/>
      <c r="AB267" s="43">
        <f t="shared" si="742"/>
        <v>662.92</v>
      </c>
      <c r="AC267" s="43">
        <f t="shared" si="743"/>
        <v>0</v>
      </c>
      <c r="AD267" s="43">
        <f t="shared" si="774"/>
        <v>662.92</v>
      </c>
      <c r="AE267" s="43">
        <f t="shared" si="774"/>
        <v>0</v>
      </c>
      <c r="AF267" s="43">
        <f t="shared" si="718"/>
        <v>0</v>
      </c>
      <c r="AG267" s="43">
        <f t="shared" si="719"/>
        <v>166</v>
      </c>
      <c r="AH267" s="43">
        <f t="shared" si="719"/>
        <v>0</v>
      </c>
      <c r="AI267" s="93">
        <f t="shared" si="720"/>
        <v>55</v>
      </c>
      <c r="AJ267" s="43">
        <f t="shared" si="720"/>
        <v>0</v>
      </c>
      <c r="AK267" s="43"/>
      <c r="AL267" s="43"/>
      <c r="AM267" s="43">
        <f t="shared" si="721"/>
        <v>165.73</v>
      </c>
      <c r="AN267" s="43">
        <f t="shared" si="722"/>
        <v>0</v>
      </c>
      <c r="AO267" s="43"/>
      <c r="AP267" s="43"/>
      <c r="AQ267" s="43">
        <f t="shared" si="723"/>
        <v>331.73</v>
      </c>
      <c r="AR267" s="43">
        <f t="shared" si="723"/>
        <v>0</v>
      </c>
      <c r="AS267" s="43"/>
      <c r="AT267" s="43"/>
      <c r="AU267" s="43">
        <f t="shared" si="623"/>
        <v>165.73</v>
      </c>
      <c r="AV267" s="43">
        <f t="shared" si="623"/>
        <v>0</v>
      </c>
      <c r="AW267" s="43"/>
      <c r="AX267" s="43"/>
      <c r="AY267" s="43">
        <f t="shared" si="724"/>
        <v>552.46</v>
      </c>
      <c r="AZ267" s="43">
        <f t="shared" si="724"/>
        <v>0</v>
      </c>
      <c r="BA267" s="43">
        <f t="shared" si="725"/>
        <v>552.46</v>
      </c>
      <c r="BB267" s="60">
        <v>497.29</v>
      </c>
      <c r="BC267" s="60">
        <v>0</v>
      </c>
      <c r="BD267" s="60">
        <f t="shared" si="726"/>
        <v>55.170000000000016</v>
      </c>
      <c r="BE267" s="60">
        <f t="shared" si="726"/>
        <v>0</v>
      </c>
      <c r="BF267" s="60">
        <f t="shared" si="727"/>
        <v>99.46</v>
      </c>
      <c r="BG267" s="60">
        <f t="shared" si="727"/>
        <v>0</v>
      </c>
      <c r="BH267" s="43">
        <v>22.15</v>
      </c>
      <c r="BI267" s="43">
        <v>0</v>
      </c>
      <c r="BJ267" s="43"/>
      <c r="BK267" s="43"/>
      <c r="BL267" s="43">
        <f t="shared" si="739"/>
        <v>574.61</v>
      </c>
      <c r="BM267" s="43">
        <f t="shared" si="739"/>
        <v>0</v>
      </c>
      <c r="BN267" s="43">
        <f t="shared" si="751"/>
        <v>574.61</v>
      </c>
      <c r="BO267" s="43">
        <v>553.55999999999995</v>
      </c>
      <c r="BP267" s="93"/>
      <c r="BQ267" s="43">
        <f t="shared" si="752"/>
        <v>21.050000000000068</v>
      </c>
      <c r="BR267" s="43">
        <f t="shared" si="752"/>
        <v>0</v>
      </c>
      <c r="BS267" s="43">
        <f t="shared" si="753"/>
        <v>50.32</v>
      </c>
      <c r="BT267" s="43">
        <f t="shared" si="753"/>
        <v>0</v>
      </c>
      <c r="BU267" s="43">
        <f>ROUND(BS267-BQ267,2)</f>
        <v>29.27</v>
      </c>
      <c r="BV267" s="43">
        <f t="shared" ref="BV267:BV268" si="778">ROUND(BT267-BR267,2)</f>
        <v>0</v>
      </c>
      <c r="BW267" s="43">
        <v>35</v>
      </c>
      <c r="BX267" s="43"/>
      <c r="BY267" s="43"/>
      <c r="BZ267" s="43"/>
      <c r="CA267" s="43">
        <v>638.88</v>
      </c>
      <c r="CB267" s="43">
        <v>0</v>
      </c>
      <c r="CC267" s="92">
        <v>702.77</v>
      </c>
      <c r="CD267" s="92">
        <v>0</v>
      </c>
      <c r="CE267" s="92">
        <v>59</v>
      </c>
      <c r="CF267" s="92">
        <v>0</v>
      </c>
      <c r="CG267" s="92">
        <f t="shared" si="754"/>
        <v>159.72</v>
      </c>
      <c r="CH267" s="92">
        <f t="shared" si="754"/>
        <v>0</v>
      </c>
      <c r="CI267" s="43"/>
      <c r="CJ267" s="43"/>
      <c r="CK267" s="43">
        <v>185</v>
      </c>
      <c r="CL267" s="43">
        <v>70</v>
      </c>
      <c r="CM267" s="43"/>
      <c r="CN267" s="43"/>
      <c r="CO267" s="43">
        <v>729.21</v>
      </c>
      <c r="CP267" s="43">
        <f>32.2+37.8</f>
        <v>70</v>
      </c>
      <c r="CQ267" s="43">
        <f t="shared" si="755"/>
        <v>740</v>
      </c>
      <c r="CR267" s="43">
        <f t="shared" si="755"/>
        <v>280</v>
      </c>
      <c r="CS267" s="43">
        <f t="shared" si="756"/>
        <v>729.21</v>
      </c>
      <c r="CT267" s="43">
        <f t="shared" si="756"/>
        <v>70</v>
      </c>
      <c r="CU267" s="43">
        <f t="shared" si="756"/>
        <v>729.21</v>
      </c>
      <c r="CV267" s="43">
        <v>95</v>
      </c>
      <c r="CW267" s="43">
        <f t="shared" si="757"/>
        <v>182.3</v>
      </c>
      <c r="CX267" s="43">
        <f t="shared" si="757"/>
        <v>23.75</v>
      </c>
      <c r="CY267" s="43"/>
      <c r="CZ267" s="43"/>
      <c r="DA267" s="43">
        <f t="shared" si="758"/>
        <v>426.3</v>
      </c>
      <c r="DB267" s="43">
        <f t="shared" si="758"/>
        <v>93.75</v>
      </c>
      <c r="DC267" s="43">
        <v>387.02</v>
      </c>
      <c r="DD267" s="43">
        <v>72.34</v>
      </c>
      <c r="DE267" s="43">
        <f t="shared" si="759"/>
        <v>39.28000000000003</v>
      </c>
      <c r="DF267" s="43">
        <f t="shared" si="759"/>
        <v>21.409999999999997</v>
      </c>
      <c r="DG267" s="43">
        <f t="shared" si="775"/>
        <v>182.3</v>
      </c>
      <c r="DH267" s="43">
        <f t="shared" si="775"/>
        <v>18.75</v>
      </c>
      <c r="DI267" s="43">
        <f>+DG267-DE267</f>
        <v>143.01999999999998</v>
      </c>
      <c r="DJ267" s="43">
        <f>+DH267-DF267+2.66</f>
        <v>3.5527136788005009E-15</v>
      </c>
      <c r="DK267" s="43"/>
      <c r="DL267" s="43"/>
      <c r="DM267" s="43">
        <f t="shared" si="760"/>
        <v>569.31999999999994</v>
      </c>
      <c r="DN267" s="43">
        <f t="shared" si="760"/>
        <v>93.75</v>
      </c>
      <c r="DO267" s="94">
        <v>569.32000000000005</v>
      </c>
      <c r="DP267" s="95">
        <v>93.4</v>
      </c>
      <c r="DQ267" s="60">
        <f t="shared" si="761"/>
        <v>0</v>
      </c>
      <c r="DR267" s="60">
        <f t="shared" si="761"/>
        <v>0.35</v>
      </c>
      <c r="DS267" s="60">
        <f t="shared" si="762"/>
        <v>56.932000000000002</v>
      </c>
      <c r="DT267" s="60">
        <f t="shared" si="762"/>
        <v>9.34</v>
      </c>
      <c r="DU267" s="60">
        <f t="shared" si="763"/>
        <v>56.932000000000002</v>
      </c>
      <c r="DV267" s="60">
        <f t="shared" si="763"/>
        <v>8.99</v>
      </c>
      <c r="DW267" s="60"/>
      <c r="DX267" s="60"/>
      <c r="DY267" s="60">
        <f t="shared" si="701"/>
        <v>56.93</v>
      </c>
      <c r="DZ267" s="60">
        <f>ROUND(DV267+DX267,2)-8.99</f>
        <v>0</v>
      </c>
      <c r="EA267" s="60"/>
      <c r="EB267" s="60"/>
      <c r="EC267" s="43">
        <f t="shared" si="764"/>
        <v>626.24999999999989</v>
      </c>
      <c r="ED267" s="43">
        <f t="shared" si="764"/>
        <v>93.75</v>
      </c>
      <c r="EE267" s="43">
        <v>626.25</v>
      </c>
      <c r="EF267" s="43">
        <v>93.75</v>
      </c>
      <c r="EG267" s="43">
        <f t="shared" si="607"/>
        <v>100</v>
      </c>
      <c r="EH267" s="43">
        <f t="shared" si="607"/>
        <v>100</v>
      </c>
      <c r="EI267" s="43">
        <f t="shared" si="765"/>
        <v>0</v>
      </c>
      <c r="EJ267" s="43">
        <f t="shared" si="765"/>
        <v>0</v>
      </c>
      <c r="EK267" s="43">
        <f t="shared" si="766"/>
        <v>56.93</v>
      </c>
      <c r="EL267" s="43">
        <f t="shared" si="766"/>
        <v>8.52</v>
      </c>
      <c r="EM267" s="43">
        <f t="shared" si="767"/>
        <v>56.93</v>
      </c>
      <c r="EN267" s="43">
        <f t="shared" si="767"/>
        <v>8.52</v>
      </c>
      <c r="EO267" s="43">
        <v>83.75</v>
      </c>
      <c r="EP267" s="43">
        <v>0</v>
      </c>
      <c r="EQ267" s="5"/>
      <c r="ER267" s="5"/>
      <c r="ES267" s="5"/>
      <c r="ET267" s="5"/>
      <c r="EU267" s="5">
        <f t="shared" si="642"/>
        <v>27.760000000000105</v>
      </c>
      <c r="EV267" s="5">
        <f t="shared" si="642"/>
        <v>-18.75</v>
      </c>
      <c r="EW267" s="5">
        <v>737.76</v>
      </c>
      <c r="EX267" s="58">
        <v>75</v>
      </c>
      <c r="EY267" s="5">
        <v>800</v>
      </c>
      <c r="EZ267" s="5">
        <v>0</v>
      </c>
    </row>
    <row r="268" spans="1:161" ht="18.75" x14ac:dyDescent="0.25">
      <c r="A268" s="37">
        <v>3</v>
      </c>
      <c r="B268" s="37"/>
      <c r="C268" s="91" t="s">
        <v>112</v>
      </c>
      <c r="D268" s="61" t="s">
        <v>545</v>
      </c>
      <c r="E268" s="39"/>
      <c r="F268" s="40">
        <v>1458.7700000000002</v>
      </c>
      <c r="G268" s="40">
        <v>0</v>
      </c>
      <c r="H268" s="40">
        <v>1458.7700000000002</v>
      </c>
      <c r="I268" s="40">
        <v>0</v>
      </c>
      <c r="J268" s="41">
        <v>920</v>
      </c>
      <c r="K268" s="41"/>
      <c r="L268" s="41"/>
      <c r="M268" s="41">
        <f t="shared" si="776"/>
        <v>920</v>
      </c>
      <c r="N268" s="41"/>
      <c r="O268" s="41"/>
      <c r="P268" s="41"/>
      <c r="Q268" s="41">
        <f t="shared" si="777"/>
        <v>0</v>
      </c>
      <c r="R268" s="41">
        <f t="shared" si="735"/>
        <v>920</v>
      </c>
      <c r="S268" s="41">
        <v>0</v>
      </c>
      <c r="T268" s="92"/>
      <c r="U268" s="92"/>
      <c r="V268" s="40">
        <f t="shared" si="772"/>
        <v>1543.82</v>
      </c>
      <c r="W268" s="40">
        <f t="shared" si="773"/>
        <v>0</v>
      </c>
      <c r="X268" s="43">
        <f t="shared" si="716"/>
        <v>-623.81999999999994</v>
      </c>
      <c r="Y268" s="43">
        <f t="shared" si="716"/>
        <v>0</v>
      </c>
      <c r="Z268" s="43">
        <v>920</v>
      </c>
      <c r="AA268" s="43"/>
      <c r="AB268" s="43">
        <f t="shared" si="742"/>
        <v>920</v>
      </c>
      <c r="AC268" s="43">
        <f t="shared" si="743"/>
        <v>0</v>
      </c>
      <c r="AD268" s="43">
        <f t="shared" si="774"/>
        <v>920</v>
      </c>
      <c r="AE268" s="43">
        <f t="shared" si="774"/>
        <v>0</v>
      </c>
      <c r="AF268" s="43">
        <f t="shared" si="718"/>
        <v>0</v>
      </c>
      <c r="AG268" s="43">
        <f t="shared" si="719"/>
        <v>230</v>
      </c>
      <c r="AH268" s="43">
        <f t="shared" si="719"/>
        <v>0</v>
      </c>
      <c r="AI268" s="93">
        <f t="shared" si="720"/>
        <v>77</v>
      </c>
      <c r="AJ268" s="43">
        <f t="shared" si="720"/>
        <v>0</v>
      </c>
      <c r="AK268" s="43"/>
      <c r="AL268" s="43"/>
      <c r="AM268" s="43">
        <f t="shared" si="721"/>
        <v>230</v>
      </c>
      <c r="AN268" s="43">
        <f t="shared" si="722"/>
        <v>0</v>
      </c>
      <c r="AO268" s="43"/>
      <c r="AP268" s="43"/>
      <c r="AQ268" s="43">
        <f t="shared" si="723"/>
        <v>460</v>
      </c>
      <c r="AR268" s="43">
        <f t="shared" si="723"/>
        <v>0</v>
      </c>
      <c r="AS268" s="43"/>
      <c r="AT268" s="43"/>
      <c r="AU268" s="43">
        <f t="shared" si="623"/>
        <v>230</v>
      </c>
      <c r="AV268" s="43">
        <f t="shared" si="623"/>
        <v>0</v>
      </c>
      <c r="AW268" s="43"/>
      <c r="AX268" s="43"/>
      <c r="AY268" s="43">
        <f t="shared" si="724"/>
        <v>767</v>
      </c>
      <c r="AZ268" s="43">
        <f t="shared" si="724"/>
        <v>0</v>
      </c>
      <c r="BA268" s="43">
        <f t="shared" si="725"/>
        <v>767</v>
      </c>
      <c r="BB268" s="60">
        <v>743.42</v>
      </c>
      <c r="BC268" s="60"/>
      <c r="BD268" s="60">
        <f t="shared" si="726"/>
        <v>23.580000000000041</v>
      </c>
      <c r="BE268" s="60">
        <f t="shared" si="726"/>
        <v>0</v>
      </c>
      <c r="BF268" s="60">
        <f t="shared" si="727"/>
        <v>148.68</v>
      </c>
      <c r="BG268" s="60">
        <f t="shared" si="727"/>
        <v>0</v>
      </c>
      <c r="BH268" s="43">
        <v>62.55</v>
      </c>
      <c r="BI268" s="43">
        <v>0</v>
      </c>
      <c r="BJ268" s="43"/>
      <c r="BK268" s="43"/>
      <c r="BL268" s="43">
        <f t="shared" si="739"/>
        <v>829.55</v>
      </c>
      <c r="BM268" s="43">
        <f t="shared" si="739"/>
        <v>0</v>
      </c>
      <c r="BN268" s="43">
        <f t="shared" si="751"/>
        <v>829.55</v>
      </c>
      <c r="BO268" s="43">
        <v>819.56</v>
      </c>
      <c r="BP268" s="93"/>
      <c r="BQ268" s="43">
        <f t="shared" si="752"/>
        <v>9.9900000000000091</v>
      </c>
      <c r="BR268" s="43">
        <f t="shared" si="752"/>
        <v>0</v>
      </c>
      <c r="BS268" s="43">
        <f t="shared" si="753"/>
        <v>74.510000000000005</v>
      </c>
      <c r="BT268" s="43">
        <f t="shared" si="753"/>
        <v>0</v>
      </c>
      <c r="BU268" s="43">
        <f t="shared" ref="BU268:BU309" si="779">BS268-BQ268</f>
        <v>64.52</v>
      </c>
      <c r="BV268" s="43">
        <f t="shared" si="778"/>
        <v>0</v>
      </c>
      <c r="BW268" s="43">
        <v>525.92999999999995</v>
      </c>
      <c r="BX268" s="43"/>
      <c r="BY268" s="43"/>
      <c r="BZ268" s="43"/>
      <c r="CA268" s="43">
        <v>1420</v>
      </c>
      <c r="CB268" s="43">
        <v>0</v>
      </c>
      <c r="CC268" s="92">
        <v>1562</v>
      </c>
      <c r="CD268" s="92">
        <v>0</v>
      </c>
      <c r="CE268" s="92">
        <v>130</v>
      </c>
      <c r="CF268" s="92">
        <v>0</v>
      </c>
      <c r="CG268" s="92">
        <f t="shared" si="754"/>
        <v>355</v>
      </c>
      <c r="CH268" s="92">
        <f t="shared" si="754"/>
        <v>0</v>
      </c>
      <c r="CI268" s="43"/>
      <c r="CJ268" s="43"/>
      <c r="CK268" s="72">
        <f>435-30</f>
        <v>405</v>
      </c>
      <c r="CL268" s="43"/>
      <c r="CM268" s="43"/>
      <c r="CN268" s="43"/>
      <c r="CO268" s="43">
        <v>1012</v>
      </c>
      <c r="CP268" s="43"/>
      <c r="CQ268" s="43">
        <f t="shared" si="755"/>
        <v>1620</v>
      </c>
      <c r="CR268" s="43">
        <f t="shared" si="755"/>
        <v>0</v>
      </c>
      <c r="CS268" s="43">
        <f t="shared" si="756"/>
        <v>1012</v>
      </c>
      <c r="CT268" s="43">
        <f t="shared" si="756"/>
        <v>0</v>
      </c>
      <c r="CU268" s="43">
        <f t="shared" si="756"/>
        <v>1012</v>
      </c>
      <c r="CV268" s="43"/>
      <c r="CW268" s="43">
        <f t="shared" si="757"/>
        <v>253</v>
      </c>
      <c r="CX268" s="43">
        <f t="shared" si="757"/>
        <v>0</v>
      </c>
      <c r="CY268" s="43"/>
      <c r="CZ268" s="43"/>
      <c r="DA268" s="43">
        <f t="shared" si="758"/>
        <v>788</v>
      </c>
      <c r="DB268" s="43">
        <f t="shared" si="758"/>
        <v>0</v>
      </c>
      <c r="DC268" s="43">
        <v>739.75</v>
      </c>
      <c r="DD268" s="43">
        <v>0</v>
      </c>
      <c r="DE268" s="43">
        <f t="shared" si="759"/>
        <v>48.25</v>
      </c>
      <c r="DF268" s="43">
        <f t="shared" si="759"/>
        <v>0</v>
      </c>
      <c r="DG268" s="43">
        <f t="shared" si="775"/>
        <v>253</v>
      </c>
      <c r="DH268" s="43">
        <f t="shared" si="775"/>
        <v>0</v>
      </c>
      <c r="DI268" s="43">
        <f>+DG268-DE268</f>
        <v>204.75</v>
      </c>
      <c r="DJ268" s="43">
        <f>+DH268-DF268</f>
        <v>0</v>
      </c>
      <c r="DK268" s="43"/>
      <c r="DL268" s="43"/>
      <c r="DM268" s="43">
        <f t="shared" si="760"/>
        <v>992.75</v>
      </c>
      <c r="DN268" s="43">
        <f t="shared" si="760"/>
        <v>0</v>
      </c>
      <c r="DO268" s="94">
        <v>927.47</v>
      </c>
      <c r="DP268" s="95">
        <v>0</v>
      </c>
      <c r="DQ268" s="60">
        <f t="shared" si="761"/>
        <v>65.28</v>
      </c>
      <c r="DR268" s="60">
        <f t="shared" si="761"/>
        <v>0</v>
      </c>
      <c r="DS268" s="60">
        <f t="shared" si="762"/>
        <v>92.747</v>
      </c>
      <c r="DT268" s="60">
        <f t="shared" si="762"/>
        <v>0</v>
      </c>
      <c r="DU268" s="60">
        <f t="shared" si="763"/>
        <v>27.466999999999999</v>
      </c>
      <c r="DV268" s="60">
        <f t="shared" si="763"/>
        <v>0</v>
      </c>
      <c r="DW268" s="60"/>
      <c r="DX268" s="60"/>
      <c r="DY268" s="60">
        <f t="shared" si="701"/>
        <v>27.47</v>
      </c>
      <c r="DZ268" s="60">
        <f t="shared" si="701"/>
        <v>0</v>
      </c>
      <c r="EA268" s="60"/>
      <c r="EB268" s="60"/>
      <c r="EC268" s="43">
        <f t="shared" si="764"/>
        <v>1020.22</v>
      </c>
      <c r="ED268" s="43">
        <f t="shared" si="764"/>
        <v>0</v>
      </c>
      <c r="EE268" s="43">
        <v>1012</v>
      </c>
      <c r="EF268" s="43">
        <v>0</v>
      </c>
      <c r="EG268" s="43">
        <f t="shared" si="607"/>
        <v>99.19</v>
      </c>
      <c r="EH268" s="43" t="e">
        <f t="shared" si="607"/>
        <v>#DIV/0!</v>
      </c>
      <c r="EI268" s="43">
        <f t="shared" si="765"/>
        <v>8.2200000000000006</v>
      </c>
      <c r="EJ268" s="43">
        <f t="shared" si="765"/>
        <v>0</v>
      </c>
      <c r="EK268" s="43">
        <f t="shared" si="766"/>
        <v>92</v>
      </c>
      <c r="EL268" s="43">
        <f t="shared" si="766"/>
        <v>0</v>
      </c>
      <c r="EM268" s="43">
        <f t="shared" si="767"/>
        <v>83.78</v>
      </c>
      <c r="EN268" s="43">
        <f t="shared" si="767"/>
        <v>0</v>
      </c>
      <c r="EO268" s="43">
        <v>292</v>
      </c>
      <c r="EP268" s="43">
        <v>0</v>
      </c>
      <c r="EQ268" s="5"/>
      <c r="ER268" s="5"/>
      <c r="ES268" s="5"/>
      <c r="ET268" s="5"/>
      <c r="EU268" s="5">
        <f t="shared" si="642"/>
        <v>137.77999999999997</v>
      </c>
      <c r="EV268" s="5">
        <f t="shared" si="642"/>
        <v>0</v>
      </c>
      <c r="EW268" s="5">
        <v>1450</v>
      </c>
      <c r="EX268" s="5">
        <v>0</v>
      </c>
      <c r="EY268" s="5">
        <v>1580</v>
      </c>
      <c r="EZ268" s="5">
        <v>0</v>
      </c>
    </row>
    <row r="269" spans="1:161" ht="18.75" x14ac:dyDescent="0.25">
      <c r="A269" s="68"/>
      <c r="B269" s="68" t="s">
        <v>546</v>
      </c>
      <c r="C269" s="91" t="s">
        <v>112</v>
      </c>
      <c r="D269" s="67" t="s">
        <v>544</v>
      </c>
      <c r="E269" s="69" t="s">
        <v>547</v>
      </c>
      <c r="F269" s="70">
        <v>2085.17</v>
      </c>
      <c r="G269" s="70">
        <v>33.229999999999997</v>
      </c>
      <c r="H269" s="70">
        <v>2085.17</v>
      </c>
      <c r="I269" s="70">
        <v>33.229999999999997</v>
      </c>
      <c r="J269" s="71">
        <f t="shared" ref="J269:AA269" si="780">+J267+J268</f>
        <v>1693.83</v>
      </c>
      <c r="K269" s="71">
        <f t="shared" si="780"/>
        <v>0</v>
      </c>
      <c r="L269" s="71">
        <f t="shared" si="780"/>
        <v>0</v>
      </c>
      <c r="M269" s="71">
        <f t="shared" si="780"/>
        <v>1693.83</v>
      </c>
      <c r="N269" s="71">
        <f t="shared" si="780"/>
        <v>0</v>
      </c>
      <c r="O269" s="71">
        <f t="shared" si="780"/>
        <v>0</v>
      </c>
      <c r="P269" s="71">
        <f t="shared" si="780"/>
        <v>0</v>
      </c>
      <c r="Q269" s="71">
        <f t="shared" si="780"/>
        <v>0</v>
      </c>
      <c r="R269" s="71">
        <f t="shared" si="780"/>
        <v>1693.83</v>
      </c>
      <c r="S269" s="71">
        <f t="shared" si="780"/>
        <v>0</v>
      </c>
      <c r="T269" s="71">
        <f t="shared" si="780"/>
        <v>0</v>
      </c>
      <c r="U269" s="71">
        <f t="shared" si="780"/>
        <v>0</v>
      </c>
      <c r="V269" s="71">
        <f t="shared" si="780"/>
        <v>2206.7399999999998</v>
      </c>
      <c r="W269" s="71">
        <f t="shared" si="780"/>
        <v>34.32</v>
      </c>
      <c r="X269" s="71">
        <f t="shared" si="780"/>
        <v>-512.90999999999985</v>
      </c>
      <c r="Y269" s="71">
        <f t="shared" si="780"/>
        <v>-34.32</v>
      </c>
      <c r="Z269" s="71">
        <f t="shared" si="780"/>
        <v>1582.92</v>
      </c>
      <c r="AA269" s="71">
        <f t="shared" si="780"/>
        <v>0</v>
      </c>
      <c r="AB269" s="70">
        <f t="shared" si="742"/>
        <v>1582.92</v>
      </c>
      <c r="AC269" s="43">
        <f t="shared" si="743"/>
        <v>0</v>
      </c>
      <c r="AD269" s="70">
        <f t="shared" ref="AD269:CQ269" si="781">+AD267+AD268</f>
        <v>1582.92</v>
      </c>
      <c r="AE269" s="70">
        <f t="shared" si="781"/>
        <v>0</v>
      </c>
      <c r="AF269" s="70">
        <f t="shared" si="781"/>
        <v>0</v>
      </c>
      <c r="AG269" s="70">
        <f t="shared" si="781"/>
        <v>396</v>
      </c>
      <c r="AH269" s="70">
        <f t="shared" si="781"/>
        <v>0</v>
      </c>
      <c r="AI269" s="96">
        <f t="shared" si="781"/>
        <v>132</v>
      </c>
      <c r="AJ269" s="70">
        <f t="shared" si="781"/>
        <v>0</v>
      </c>
      <c r="AK269" s="70">
        <f t="shared" si="781"/>
        <v>0</v>
      </c>
      <c r="AL269" s="70">
        <f t="shared" si="781"/>
        <v>0</v>
      </c>
      <c r="AM269" s="70">
        <f t="shared" si="781"/>
        <v>395.73</v>
      </c>
      <c r="AN269" s="70">
        <f t="shared" si="781"/>
        <v>0</v>
      </c>
      <c r="AO269" s="70">
        <f t="shared" si="781"/>
        <v>0</v>
      </c>
      <c r="AP269" s="70">
        <f t="shared" si="781"/>
        <v>0</v>
      </c>
      <c r="AQ269" s="70">
        <f t="shared" si="781"/>
        <v>791.73</v>
      </c>
      <c r="AR269" s="70">
        <f t="shared" si="781"/>
        <v>0</v>
      </c>
      <c r="AS269" s="70">
        <f t="shared" si="781"/>
        <v>0</v>
      </c>
      <c r="AT269" s="70">
        <f t="shared" si="781"/>
        <v>0</v>
      </c>
      <c r="AU269" s="70">
        <f t="shared" si="781"/>
        <v>395.73</v>
      </c>
      <c r="AV269" s="70">
        <f t="shared" si="781"/>
        <v>0</v>
      </c>
      <c r="AW269" s="70">
        <f t="shared" si="781"/>
        <v>0</v>
      </c>
      <c r="AX269" s="70">
        <f t="shared" si="781"/>
        <v>0</v>
      </c>
      <c r="AY269" s="70">
        <f t="shared" si="781"/>
        <v>1319.46</v>
      </c>
      <c r="AZ269" s="70">
        <f t="shared" si="781"/>
        <v>0</v>
      </c>
      <c r="BA269" s="70">
        <f t="shared" si="781"/>
        <v>1319.46</v>
      </c>
      <c r="BB269" s="70">
        <f t="shared" si="781"/>
        <v>1240.71</v>
      </c>
      <c r="BC269" s="70">
        <f t="shared" si="781"/>
        <v>0</v>
      </c>
      <c r="BD269" s="70">
        <f t="shared" si="781"/>
        <v>78.750000000000057</v>
      </c>
      <c r="BE269" s="70">
        <f t="shared" si="781"/>
        <v>0</v>
      </c>
      <c r="BF269" s="70">
        <f t="shared" si="781"/>
        <v>248.14</v>
      </c>
      <c r="BG269" s="96">
        <f t="shared" si="781"/>
        <v>0</v>
      </c>
      <c r="BH269" s="96">
        <f t="shared" si="781"/>
        <v>84.699999999999989</v>
      </c>
      <c r="BI269" s="96">
        <f t="shared" si="781"/>
        <v>0</v>
      </c>
      <c r="BJ269" s="96">
        <f t="shared" si="781"/>
        <v>0</v>
      </c>
      <c r="BK269" s="96">
        <f t="shared" si="781"/>
        <v>0</v>
      </c>
      <c r="BL269" s="96">
        <f t="shared" si="781"/>
        <v>1404.1599999999999</v>
      </c>
      <c r="BM269" s="96">
        <f t="shared" si="781"/>
        <v>0</v>
      </c>
      <c r="BN269" s="96">
        <f t="shared" si="781"/>
        <v>1404.1599999999999</v>
      </c>
      <c r="BO269" s="96">
        <f t="shared" si="781"/>
        <v>1373.12</v>
      </c>
      <c r="BP269" s="96">
        <f t="shared" si="781"/>
        <v>0</v>
      </c>
      <c r="BQ269" s="70">
        <f t="shared" si="781"/>
        <v>31.040000000000077</v>
      </c>
      <c r="BR269" s="70">
        <f t="shared" si="781"/>
        <v>0</v>
      </c>
      <c r="BS269" s="70">
        <f t="shared" si="781"/>
        <v>124.83000000000001</v>
      </c>
      <c r="BT269" s="70">
        <f t="shared" si="781"/>
        <v>0</v>
      </c>
      <c r="BU269" s="70">
        <f t="shared" si="781"/>
        <v>93.789999999999992</v>
      </c>
      <c r="BV269" s="70">
        <f t="shared" si="781"/>
        <v>0</v>
      </c>
      <c r="BW269" s="70">
        <f t="shared" si="781"/>
        <v>560.92999999999995</v>
      </c>
      <c r="BX269" s="70">
        <f t="shared" si="781"/>
        <v>0</v>
      </c>
      <c r="BY269" s="70">
        <f t="shared" si="781"/>
        <v>0</v>
      </c>
      <c r="BZ269" s="70">
        <f t="shared" si="781"/>
        <v>0</v>
      </c>
      <c r="CA269" s="70">
        <f t="shared" si="781"/>
        <v>2058.88</v>
      </c>
      <c r="CB269" s="70">
        <f t="shared" si="781"/>
        <v>0</v>
      </c>
      <c r="CC269" s="70">
        <f t="shared" si="781"/>
        <v>2264.77</v>
      </c>
      <c r="CD269" s="70">
        <f t="shared" si="781"/>
        <v>0</v>
      </c>
      <c r="CE269" s="70">
        <f t="shared" si="781"/>
        <v>189</v>
      </c>
      <c r="CF269" s="70">
        <f t="shared" si="781"/>
        <v>0</v>
      </c>
      <c r="CG269" s="70">
        <f t="shared" si="781"/>
        <v>514.72</v>
      </c>
      <c r="CH269" s="96">
        <f t="shared" si="781"/>
        <v>0</v>
      </c>
      <c r="CI269" s="70">
        <f t="shared" si="781"/>
        <v>0</v>
      </c>
      <c r="CJ269" s="70">
        <f t="shared" si="781"/>
        <v>0</v>
      </c>
      <c r="CK269" s="70">
        <f t="shared" si="781"/>
        <v>590</v>
      </c>
      <c r="CL269" s="70">
        <f t="shared" si="781"/>
        <v>70</v>
      </c>
      <c r="CM269" s="70">
        <f t="shared" si="781"/>
        <v>0</v>
      </c>
      <c r="CN269" s="70">
        <f t="shared" si="781"/>
        <v>0</v>
      </c>
      <c r="CO269" s="70">
        <f t="shared" si="781"/>
        <v>1741.21</v>
      </c>
      <c r="CP269" s="70">
        <f t="shared" si="781"/>
        <v>70</v>
      </c>
      <c r="CQ269" s="70">
        <f t="shared" si="781"/>
        <v>2360</v>
      </c>
      <c r="CR269" s="70">
        <f t="shared" ref="CR269:FD269" si="782">+CR267+CR268</f>
        <v>280</v>
      </c>
      <c r="CS269" s="70">
        <f t="shared" si="782"/>
        <v>1741.21</v>
      </c>
      <c r="CT269" s="70">
        <f t="shared" si="782"/>
        <v>70</v>
      </c>
      <c r="CU269" s="70">
        <f t="shared" si="782"/>
        <v>1741.21</v>
      </c>
      <c r="CV269" s="70">
        <f t="shared" si="782"/>
        <v>95</v>
      </c>
      <c r="CW269" s="70">
        <f t="shared" si="782"/>
        <v>435.3</v>
      </c>
      <c r="CX269" s="70">
        <f t="shared" si="782"/>
        <v>23.75</v>
      </c>
      <c r="CY269" s="70">
        <f t="shared" si="782"/>
        <v>0</v>
      </c>
      <c r="CZ269" s="70">
        <f t="shared" si="782"/>
        <v>0</v>
      </c>
      <c r="DA269" s="70">
        <f t="shared" si="782"/>
        <v>1214.3</v>
      </c>
      <c r="DB269" s="70">
        <f t="shared" si="782"/>
        <v>93.75</v>
      </c>
      <c r="DC269" s="70">
        <f t="shared" si="782"/>
        <v>1126.77</v>
      </c>
      <c r="DD269" s="70">
        <f t="shared" si="782"/>
        <v>72.34</v>
      </c>
      <c r="DE269" s="70">
        <f t="shared" si="782"/>
        <v>87.53000000000003</v>
      </c>
      <c r="DF269" s="70">
        <f t="shared" si="782"/>
        <v>21.409999999999997</v>
      </c>
      <c r="DG269" s="70">
        <f t="shared" si="782"/>
        <v>435.3</v>
      </c>
      <c r="DH269" s="70">
        <f t="shared" si="782"/>
        <v>18.75</v>
      </c>
      <c r="DI269" s="70">
        <f t="shared" si="782"/>
        <v>347.77</v>
      </c>
      <c r="DJ269" s="70">
        <f t="shared" si="782"/>
        <v>3.5527136788005009E-15</v>
      </c>
      <c r="DK269" s="70">
        <f t="shared" si="782"/>
        <v>0</v>
      </c>
      <c r="DL269" s="70">
        <f t="shared" si="782"/>
        <v>0</v>
      </c>
      <c r="DM269" s="70">
        <f t="shared" si="782"/>
        <v>1562.07</v>
      </c>
      <c r="DN269" s="70">
        <f t="shared" si="782"/>
        <v>93.75</v>
      </c>
      <c r="DO269" s="70">
        <f t="shared" si="782"/>
        <v>1496.79</v>
      </c>
      <c r="DP269" s="70">
        <f t="shared" si="782"/>
        <v>93.4</v>
      </c>
      <c r="DQ269" s="70">
        <f t="shared" si="782"/>
        <v>65.28</v>
      </c>
      <c r="DR269" s="70">
        <f t="shared" si="782"/>
        <v>0.35</v>
      </c>
      <c r="DS269" s="70">
        <f t="shared" si="782"/>
        <v>149.679</v>
      </c>
      <c r="DT269" s="70">
        <f t="shared" si="782"/>
        <v>9.34</v>
      </c>
      <c r="DU269" s="70">
        <f t="shared" si="782"/>
        <v>84.399000000000001</v>
      </c>
      <c r="DV269" s="70">
        <f t="shared" si="782"/>
        <v>8.99</v>
      </c>
      <c r="DW269" s="70">
        <f t="shared" si="782"/>
        <v>0</v>
      </c>
      <c r="DX269" s="70">
        <f t="shared" si="782"/>
        <v>0</v>
      </c>
      <c r="DY269" s="70">
        <f t="shared" si="782"/>
        <v>84.4</v>
      </c>
      <c r="DZ269" s="70">
        <f t="shared" si="782"/>
        <v>0</v>
      </c>
      <c r="EA269" s="70">
        <f t="shared" si="782"/>
        <v>0</v>
      </c>
      <c r="EB269" s="96">
        <f t="shared" si="782"/>
        <v>0</v>
      </c>
      <c r="EC269" s="70">
        <f t="shared" si="782"/>
        <v>1646.4699999999998</v>
      </c>
      <c r="ED269" s="70">
        <f t="shared" si="782"/>
        <v>93.75</v>
      </c>
      <c r="EE269" s="70">
        <f t="shared" si="782"/>
        <v>1638.25</v>
      </c>
      <c r="EF269" s="70">
        <f t="shared" si="782"/>
        <v>93.75</v>
      </c>
      <c r="EG269" s="70">
        <f t="shared" si="782"/>
        <v>199.19</v>
      </c>
      <c r="EH269" s="70" t="e">
        <f t="shared" si="782"/>
        <v>#DIV/0!</v>
      </c>
      <c r="EI269" s="70">
        <f t="shared" si="782"/>
        <v>8.2200000000000006</v>
      </c>
      <c r="EJ269" s="70">
        <f t="shared" si="782"/>
        <v>0</v>
      </c>
      <c r="EK269" s="70">
        <f t="shared" si="782"/>
        <v>148.93</v>
      </c>
      <c r="EL269" s="70">
        <f t="shared" si="782"/>
        <v>8.52</v>
      </c>
      <c r="EM269" s="70">
        <f t="shared" si="782"/>
        <v>140.71</v>
      </c>
      <c r="EN269" s="70">
        <f t="shared" si="782"/>
        <v>8.52</v>
      </c>
      <c r="EO269" s="70">
        <f t="shared" si="782"/>
        <v>375.75</v>
      </c>
      <c r="EP269" s="70">
        <f t="shared" si="782"/>
        <v>0</v>
      </c>
      <c r="EQ269" s="66"/>
      <c r="ER269" s="46"/>
      <c r="ES269" s="46">
        <f t="shared" si="782"/>
        <v>0</v>
      </c>
      <c r="ET269" s="66"/>
      <c r="EU269" s="5">
        <f t="shared" si="642"/>
        <v>165.54000000000042</v>
      </c>
      <c r="EV269" s="5">
        <f t="shared" si="642"/>
        <v>-18.75</v>
      </c>
      <c r="EW269" s="46">
        <f t="shared" si="782"/>
        <v>2187.7600000000002</v>
      </c>
      <c r="EX269" s="46">
        <f t="shared" si="782"/>
        <v>75</v>
      </c>
      <c r="EY269" s="46">
        <f t="shared" si="782"/>
        <v>2380</v>
      </c>
      <c r="EZ269" s="46">
        <f t="shared" si="782"/>
        <v>0</v>
      </c>
      <c r="FA269" s="46">
        <f t="shared" si="782"/>
        <v>0</v>
      </c>
      <c r="FB269" s="46">
        <f t="shared" si="782"/>
        <v>0</v>
      </c>
      <c r="FC269" s="46">
        <f t="shared" si="782"/>
        <v>0</v>
      </c>
      <c r="FD269" s="46">
        <f t="shared" si="782"/>
        <v>0</v>
      </c>
    </row>
    <row r="270" spans="1:161" ht="29.25" customHeight="1" x14ac:dyDescent="0.25">
      <c r="A270" s="68">
        <v>4</v>
      </c>
      <c r="B270" s="68" t="s">
        <v>548</v>
      </c>
      <c r="C270" s="91" t="s">
        <v>122</v>
      </c>
      <c r="D270" s="122" t="s">
        <v>549</v>
      </c>
      <c r="E270" s="69" t="s">
        <v>550</v>
      </c>
      <c r="F270" s="40">
        <v>0</v>
      </c>
      <c r="G270" s="40">
        <v>0</v>
      </c>
      <c r="H270" s="40">
        <v>0</v>
      </c>
      <c r="I270" s="70">
        <v>0</v>
      </c>
      <c r="J270" s="71">
        <v>0</v>
      </c>
      <c r="K270" s="41">
        <v>0</v>
      </c>
      <c r="L270" s="41">
        <v>0</v>
      </c>
      <c r="M270" s="71">
        <f t="shared" ref="M270:M272" si="783">+L270+K270+J270</f>
        <v>0</v>
      </c>
      <c r="N270" s="41">
        <v>0</v>
      </c>
      <c r="O270" s="41">
        <v>0</v>
      </c>
      <c r="P270" s="41">
        <v>0</v>
      </c>
      <c r="Q270" s="71">
        <f t="shared" ref="Q270" si="784">+P270+O270+N270</f>
        <v>0</v>
      </c>
      <c r="R270" s="71">
        <f t="shared" si="735"/>
        <v>0</v>
      </c>
      <c r="S270" s="71">
        <v>0</v>
      </c>
      <c r="T270" s="71"/>
      <c r="U270" s="71"/>
      <c r="V270" s="71"/>
      <c r="W270" s="71">
        <f t="shared" ref="W270" si="785">+U270+V270</f>
        <v>0</v>
      </c>
      <c r="X270" s="71">
        <f t="shared" si="716"/>
        <v>0</v>
      </c>
      <c r="Y270" s="71">
        <f t="shared" si="716"/>
        <v>0</v>
      </c>
      <c r="Z270" s="71">
        <v>0</v>
      </c>
      <c r="AA270" s="71"/>
      <c r="AB270" s="71">
        <f t="shared" si="742"/>
        <v>0</v>
      </c>
      <c r="AC270" s="43">
        <f t="shared" si="743"/>
        <v>0</v>
      </c>
      <c r="AD270" s="71">
        <f t="shared" ref="AD270:AE270" si="786">IF(X270&gt;0,V270,R270)</f>
        <v>0</v>
      </c>
      <c r="AE270" s="71">
        <f t="shared" si="786"/>
        <v>0</v>
      </c>
      <c r="AF270" s="71">
        <f t="shared" si="718"/>
        <v>0</v>
      </c>
      <c r="AG270" s="71">
        <f t="shared" si="719"/>
        <v>0</v>
      </c>
      <c r="AH270" s="71">
        <f t="shared" si="719"/>
        <v>0</v>
      </c>
      <c r="AI270" s="126">
        <f t="shared" si="720"/>
        <v>0</v>
      </c>
      <c r="AJ270" s="71">
        <f t="shared" si="720"/>
        <v>0</v>
      </c>
      <c r="AK270" s="71"/>
      <c r="AL270" s="43"/>
      <c r="AM270" s="43">
        <f t="shared" si="721"/>
        <v>0</v>
      </c>
      <c r="AN270" s="43">
        <f t="shared" si="722"/>
        <v>0</v>
      </c>
      <c r="AO270" s="43"/>
      <c r="AP270" s="43"/>
      <c r="AQ270" s="43">
        <f t="shared" si="723"/>
        <v>0</v>
      </c>
      <c r="AR270" s="43">
        <f t="shared" si="723"/>
        <v>0</v>
      </c>
      <c r="AS270" s="43"/>
      <c r="AT270" s="43"/>
      <c r="AU270" s="43">
        <f t="shared" si="623"/>
        <v>0</v>
      </c>
      <c r="AV270" s="43">
        <f t="shared" si="623"/>
        <v>0</v>
      </c>
      <c r="AW270" s="43"/>
      <c r="AX270" s="43"/>
      <c r="AY270" s="43">
        <f t="shared" si="724"/>
        <v>0</v>
      </c>
      <c r="AZ270" s="43">
        <f t="shared" si="724"/>
        <v>0</v>
      </c>
      <c r="BA270" s="43">
        <f t="shared" si="725"/>
        <v>0</v>
      </c>
      <c r="BB270" s="60">
        <v>0</v>
      </c>
      <c r="BC270" s="60"/>
      <c r="BD270" s="60">
        <f t="shared" si="726"/>
        <v>0</v>
      </c>
      <c r="BE270" s="60">
        <f t="shared" si="726"/>
        <v>0</v>
      </c>
      <c r="BF270" s="60">
        <f t="shared" si="727"/>
        <v>0</v>
      </c>
      <c r="BG270" s="60">
        <f t="shared" si="727"/>
        <v>0</v>
      </c>
      <c r="BH270" s="43">
        <v>0</v>
      </c>
      <c r="BI270" s="43">
        <v>0</v>
      </c>
      <c r="BJ270" s="43"/>
      <c r="BK270" s="43"/>
      <c r="BL270" s="43">
        <f t="shared" si="739"/>
        <v>0</v>
      </c>
      <c r="BM270" s="43">
        <f t="shared" si="739"/>
        <v>0</v>
      </c>
      <c r="BN270" s="43">
        <f t="shared" si="751"/>
        <v>0</v>
      </c>
      <c r="BO270" s="43"/>
      <c r="BP270" s="93"/>
      <c r="BQ270" s="43">
        <f t="shared" si="752"/>
        <v>0</v>
      </c>
      <c r="BR270" s="43">
        <f t="shared" si="752"/>
        <v>0</v>
      </c>
      <c r="BS270" s="43">
        <f t="shared" si="753"/>
        <v>0</v>
      </c>
      <c r="BT270" s="43">
        <f t="shared" si="753"/>
        <v>0</v>
      </c>
      <c r="BU270" s="43">
        <f t="shared" si="779"/>
        <v>0</v>
      </c>
      <c r="BV270" s="43">
        <v>0</v>
      </c>
      <c r="BW270" s="43"/>
      <c r="BX270" s="43"/>
      <c r="BY270" s="43"/>
      <c r="BZ270" s="43"/>
      <c r="CA270" s="43">
        <v>0</v>
      </c>
      <c r="CB270" s="43">
        <v>0</v>
      </c>
      <c r="CC270" s="92">
        <v>0</v>
      </c>
      <c r="CD270" s="92">
        <v>0</v>
      </c>
      <c r="CE270" s="92">
        <v>0</v>
      </c>
      <c r="CF270" s="92">
        <v>0</v>
      </c>
      <c r="CG270" s="92">
        <f t="shared" si="754"/>
        <v>0</v>
      </c>
      <c r="CH270" s="92">
        <f t="shared" si="754"/>
        <v>0</v>
      </c>
      <c r="CI270" s="43"/>
      <c r="CJ270" s="43"/>
      <c r="CK270" s="43">
        <v>0</v>
      </c>
      <c r="CL270" s="43">
        <v>0</v>
      </c>
      <c r="CM270" s="43"/>
      <c r="CN270" s="43"/>
      <c r="CO270" s="43"/>
      <c r="CP270" s="43"/>
      <c r="CQ270" s="43">
        <f t="shared" si="755"/>
        <v>0</v>
      </c>
      <c r="CR270" s="43">
        <f t="shared" si="755"/>
        <v>0</v>
      </c>
      <c r="CS270" s="43">
        <f t="shared" si="756"/>
        <v>0</v>
      </c>
      <c r="CT270" s="43">
        <f t="shared" si="756"/>
        <v>0</v>
      </c>
      <c r="CU270" s="43"/>
      <c r="CV270" s="43"/>
      <c r="CW270" s="43">
        <f t="shared" si="757"/>
        <v>0</v>
      </c>
      <c r="CX270" s="43">
        <f t="shared" si="757"/>
        <v>0</v>
      </c>
      <c r="CY270" s="43"/>
      <c r="CZ270" s="43"/>
      <c r="DA270" s="43">
        <f t="shared" si="758"/>
        <v>0</v>
      </c>
      <c r="DB270" s="43">
        <f t="shared" si="758"/>
        <v>0</v>
      </c>
      <c r="DC270" s="43">
        <v>0</v>
      </c>
      <c r="DD270" s="43">
        <v>0</v>
      </c>
      <c r="DE270" s="43">
        <f t="shared" si="759"/>
        <v>0</v>
      </c>
      <c r="DF270" s="43">
        <f t="shared" si="759"/>
        <v>0</v>
      </c>
      <c r="DG270" s="43">
        <f>ROUND(0.25*(MIN(CU270,EW270)),2)</f>
        <v>0</v>
      </c>
      <c r="DH270" s="43">
        <f>ROUND(0.25*(MIN(CV270,EX270)),2)</f>
        <v>0</v>
      </c>
      <c r="DI270" s="43">
        <f>+DG270-DE270</f>
        <v>0</v>
      </c>
      <c r="DJ270" s="43">
        <f>+DH270-DF270</f>
        <v>0</v>
      </c>
      <c r="DK270" s="43"/>
      <c r="DL270" s="43"/>
      <c r="DM270" s="43">
        <f t="shared" si="760"/>
        <v>0</v>
      </c>
      <c r="DN270" s="43">
        <f t="shared" si="760"/>
        <v>0</v>
      </c>
      <c r="DO270" s="43">
        <v>0</v>
      </c>
      <c r="DP270" s="43">
        <v>0</v>
      </c>
      <c r="DQ270" s="60">
        <f t="shared" si="761"/>
        <v>0</v>
      </c>
      <c r="DR270" s="60">
        <f t="shared" si="761"/>
        <v>0</v>
      </c>
      <c r="DS270" s="60">
        <f t="shared" si="762"/>
        <v>0</v>
      </c>
      <c r="DT270" s="60">
        <f t="shared" si="762"/>
        <v>0</v>
      </c>
      <c r="DU270" s="60">
        <f t="shared" si="763"/>
        <v>0</v>
      </c>
      <c r="DV270" s="60">
        <f t="shared" si="763"/>
        <v>0</v>
      </c>
      <c r="DW270" s="60"/>
      <c r="DX270" s="60"/>
      <c r="DY270" s="60">
        <f t="shared" si="701"/>
        <v>0</v>
      </c>
      <c r="DZ270" s="60">
        <f t="shared" si="701"/>
        <v>0</v>
      </c>
      <c r="EA270" s="60"/>
      <c r="EB270" s="60"/>
      <c r="EC270" s="43">
        <f t="shared" si="764"/>
        <v>0</v>
      </c>
      <c r="ED270" s="43">
        <f t="shared" si="764"/>
        <v>0</v>
      </c>
      <c r="EE270" s="43">
        <v>0</v>
      </c>
      <c r="EF270" s="43">
        <v>0</v>
      </c>
      <c r="EG270" s="43" t="e">
        <f t="shared" si="607"/>
        <v>#DIV/0!</v>
      </c>
      <c r="EH270" s="43" t="e">
        <f t="shared" si="607"/>
        <v>#DIV/0!</v>
      </c>
      <c r="EI270" s="43">
        <f t="shared" si="765"/>
        <v>0</v>
      </c>
      <c r="EJ270" s="43">
        <f t="shared" si="765"/>
        <v>0</v>
      </c>
      <c r="EK270" s="43">
        <f t="shared" si="766"/>
        <v>0</v>
      </c>
      <c r="EL270" s="43">
        <f t="shared" si="766"/>
        <v>0</v>
      </c>
      <c r="EM270" s="43">
        <f t="shared" si="767"/>
        <v>0</v>
      </c>
      <c r="EN270" s="43">
        <f t="shared" si="767"/>
        <v>0</v>
      </c>
      <c r="EO270" s="43">
        <v>0</v>
      </c>
      <c r="EP270" s="43">
        <v>0</v>
      </c>
      <c r="EQ270" s="5"/>
      <c r="ER270" s="5"/>
      <c r="ES270" s="5"/>
      <c r="ET270" s="5"/>
      <c r="EU270" s="5">
        <f t="shared" si="642"/>
        <v>0</v>
      </c>
      <c r="EV270" s="5">
        <f t="shared" si="642"/>
        <v>0</v>
      </c>
      <c r="EW270" s="5">
        <v>0</v>
      </c>
      <c r="EX270" s="5">
        <v>0</v>
      </c>
      <c r="EY270" s="5">
        <v>0</v>
      </c>
      <c r="EZ270" s="5">
        <v>0</v>
      </c>
    </row>
    <row r="271" spans="1:161" ht="37.5" x14ac:dyDescent="0.25">
      <c r="A271" s="68"/>
      <c r="B271" s="68"/>
      <c r="C271" s="91"/>
      <c r="D271" s="67" t="s">
        <v>551</v>
      </c>
      <c r="E271" s="69" t="s">
        <v>552</v>
      </c>
      <c r="F271" s="40">
        <v>4367.74</v>
      </c>
      <c r="G271" s="40">
        <v>3347.85</v>
      </c>
      <c r="H271" s="40">
        <v>4367.74</v>
      </c>
      <c r="I271" s="40">
        <v>3347.85</v>
      </c>
      <c r="J271" s="41">
        <f t="shared" ref="J271:AA271" si="787">+J266+J269+J270</f>
        <v>3863.83</v>
      </c>
      <c r="K271" s="41">
        <f t="shared" si="787"/>
        <v>149.75</v>
      </c>
      <c r="L271" s="41">
        <f t="shared" si="787"/>
        <v>0.25</v>
      </c>
      <c r="M271" s="41">
        <f t="shared" si="787"/>
        <v>4013.83</v>
      </c>
      <c r="N271" s="41">
        <f t="shared" si="787"/>
        <v>0</v>
      </c>
      <c r="O271" s="41">
        <f t="shared" si="787"/>
        <v>0</v>
      </c>
      <c r="P271" s="41">
        <f t="shared" si="787"/>
        <v>0</v>
      </c>
      <c r="Q271" s="41">
        <f t="shared" si="787"/>
        <v>0</v>
      </c>
      <c r="R271" s="41">
        <f t="shared" si="787"/>
        <v>4013.83</v>
      </c>
      <c r="S271" s="41">
        <f t="shared" si="787"/>
        <v>3600</v>
      </c>
      <c r="T271" s="41">
        <f t="shared" si="787"/>
        <v>0</v>
      </c>
      <c r="U271" s="41">
        <f t="shared" si="787"/>
        <v>0</v>
      </c>
      <c r="V271" s="41">
        <f t="shared" si="787"/>
        <v>4622.3799999999992</v>
      </c>
      <c r="W271" s="41">
        <f t="shared" si="787"/>
        <v>3457.3300000000004</v>
      </c>
      <c r="X271" s="41">
        <f t="shared" si="787"/>
        <v>-608.54999999999973</v>
      </c>
      <c r="Y271" s="41">
        <f t="shared" si="787"/>
        <v>142.66999999999979</v>
      </c>
      <c r="Z271" s="41">
        <f t="shared" si="787"/>
        <v>3902.92</v>
      </c>
      <c r="AA271" s="41">
        <f t="shared" si="787"/>
        <v>0</v>
      </c>
      <c r="AB271" s="40">
        <f t="shared" si="742"/>
        <v>3902.92</v>
      </c>
      <c r="AC271" s="43">
        <f t="shared" si="743"/>
        <v>0</v>
      </c>
      <c r="AD271" s="40">
        <f t="shared" ref="AD271:CQ271" si="788">+AD266+AD269+AD270</f>
        <v>3902.92</v>
      </c>
      <c r="AE271" s="40">
        <f t="shared" si="788"/>
        <v>3423.01</v>
      </c>
      <c r="AF271" s="40">
        <f t="shared" si="788"/>
        <v>3247.92</v>
      </c>
      <c r="AG271" s="40">
        <f t="shared" si="788"/>
        <v>976</v>
      </c>
      <c r="AH271" s="40">
        <f t="shared" si="788"/>
        <v>856</v>
      </c>
      <c r="AI271" s="102">
        <f t="shared" si="788"/>
        <v>325</v>
      </c>
      <c r="AJ271" s="40">
        <f t="shared" si="788"/>
        <v>285</v>
      </c>
      <c r="AK271" s="40">
        <f t="shared" si="788"/>
        <v>0</v>
      </c>
      <c r="AL271" s="40">
        <f t="shared" si="788"/>
        <v>0</v>
      </c>
      <c r="AM271" s="40">
        <f t="shared" si="788"/>
        <v>975.73</v>
      </c>
      <c r="AN271" s="40">
        <f t="shared" si="788"/>
        <v>833.5</v>
      </c>
      <c r="AO271" s="40">
        <f t="shared" si="788"/>
        <v>0</v>
      </c>
      <c r="AP271" s="40">
        <f t="shared" si="788"/>
        <v>0</v>
      </c>
      <c r="AQ271" s="40">
        <f t="shared" si="788"/>
        <v>1951.73</v>
      </c>
      <c r="AR271" s="40">
        <f t="shared" si="788"/>
        <v>1689.5</v>
      </c>
      <c r="AS271" s="40">
        <f t="shared" si="788"/>
        <v>0</v>
      </c>
      <c r="AT271" s="40">
        <f t="shared" si="788"/>
        <v>0</v>
      </c>
      <c r="AU271" s="40">
        <f t="shared" si="788"/>
        <v>975.73</v>
      </c>
      <c r="AV271" s="40">
        <f t="shared" si="788"/>
        <v>855.75</v>
      </c>
      <c r="AW271" s="40">
        <f t="shared" si="788"/>
        <v>0</v>
      </c>
      <c r="AX271" s="40">
        <f t="shared" si="788"/>
        <v>0</v>
      </c>
      <c r="AY271" s="40">
        <f t="shared" si="788"/>
        <v>3252.46</v>
      </c>
      <c r="AZ271" s="40">
        <f t="shared" si="788"/>
        <v>2830.25</v>
      </c>
      <c r="BA271" s="40">
        <f t="shared" si="788"/>
        <v>6082.71</v>
      </c>
      <c r="BB271" s="40">
        <f t="shared" si="788"/>
        <v>3047.5699999999997</v>
      </c>
      <c r="BC271" s="40">
        <f t="shared" si="788"/>
        <v>3182.63</v>
      </c>
      <c r="BD271" s="40">
        <f t="shared" si="788"/>
        <v>204.89000000000016</v>
      </c>
      <c r="BE271" s="40">
        <f t="shared" si="788"/>
        <v>-352.38000000000011</v>
      </c>
      <c r="BF271" s="40">
        <f t="shared" si="788"/>
        <v>609.51</v>
      </c>
      <c r="BG271" s="102">
        <f t="shared" si="788"/>
        <v>636.53</v>
      </c>
      <c r="BH271" s="102">
        <f t="shared" si="788"/>
        <v>202.32</v>
      </c>
      <c r="BI271" s="102">
        <f t="shared" si="788"/>
        <v>450</v>
      </c>
      <c r="BJ271" s="102">
        <f t="shared" si="788"/>
        <v>0</v>
      </c>
      <c r="BK271" s="102">
        <f t="shared" si="788"/>
        <v>0</v>
      </c>
      <c r="BL271" s="102">
        <f t="shared" si="788"/>
        <v>3454.7799999999997</v>
      </c>
      <c r="BM271" s="102">
        <f t="shared" si="788"/>
        <v>3280.25</v>
      </c>
      <c r="BN271" s="102">
        <f t="shared" si="788"/>
        <v>6735.03</v>
      </c>
      <c r="BO271" s="102">
        <f t="shared" si="788"/>
        <v>3370.93</v>
      </c>
      <c r="BP271" s="102">
        <f t="shared" si="788"/>
        <v>3513.85</v>
      </c>
      <c r="BQ271" s="40">
        <f t="shared" si="788"/>
        <v>83.850000000000023</v>
      </c>
      <c r="BR271" s="40">
        <f t="shared" si="788"/>
        <v>-233.59999999999991</v>
      </c>
      <c r="BS271" s="40">
        <f t="shared" si="788"/>
        <v>306.45000000000005</v>
      </c>
      <c r="BT271" s="40">
        <f t="shared" si="788"/>
        <v>319.44</v>
      </c>
      <c r="BU271" s="40">
        <f t="shared" si="788"/>
        <v>233.17</v>
      </c>
      <c r="BV271" s="40">
        <f t="shared" si="788"/>
        <v>553.04</v>
      </c>
      <c r="BW271" s="40">
        <f t="shared" si="788"/>
        <v>560.92999999999995</v>
      </c>
      <c r="BX271" s="40">
        <f t="shared" si="788"/>
        <v>101.71000000000001</v>
      </c>
      <c r="BY271" s="40">
        <f t="shared" si="788"/>
        <v>0</v>
      </c>
      <c r="BZ271" s="40">
        <f t="shared" si="788"/>
        <v>0</v>
      </c>
      <c r="CA271" s="40">
        <f t="shared" si="788"/>
        <v>4248.88</v>
      </c>
      <c r="CB271" s="40">
        <f t="shared" si="788"/>
        <v>3935</v>
      </c>
      <c r="CC271" s="40">
        <f t="shared" si="788"/>
        <v>4673.7700000000004</v>
      </c>
      <c r="CD271" s="40">
        <f t="shared" si="788"/>
        <v>4525.25</v>
      </c>
      <c r="CE271" s="40">
        <f t="shared" si="788"/>
        <v>390</v>
      </c>
      <c r="CF271" s="40">
        <f t="shared" si="788"/>
        <v>377</v>
      </c>
      <c r="CG271" s="40">
        <f t="shared" si="788"/>
        <v>1062.22</v>
      </c>
      <c r="CH271" s="102">
        <f t="shared" si="788"/>
        <v>983.75</v>
      </c>
      <c r="CI271" s="40">
        <f t="shared" si="788"/>
        <v>0</v>
      </c>
      <c r="CJ271" s="40">
        <f t="shared" si="788"/>
        <v>0</v>
      </c>
      <c r="CK271" s="40">
        <f t="shared" si="788"/>
        <v>1240</v>
      </c>
      <c r="CL271" s="40">
        <f t="shared" si="788"/>
        <v>1070</v>
      </c>
      <c r="CM271" s="40">
        <f t="shared" si="788"/>
        <v>0</v>
      </c>
      <c r="CN271" s="40">
        <f t="shared" si="788"/>
        <v>0</v>
      </c>
      <c r="CO271" s="40">
        <f t="shared" si="788"/>
        <v>1971.21</v>
      </c>
      <c r="CP271" s="40">
        <f t="shared" si="788"/>
        <v>4070</v>
      </c>
      <c r="CQ271" s="40">
        <f t="shared" si="788"/>
        <v>4960</v>
      </c>
      <c r="CR271" s="40">
        <f t="shared" ref="CR271:FE271" si="789">+CR266+CR269+CR270</f>
        <v>4280</v>
      </c>
      <c r="CS271" s="40">
        <f t="shared" si="789"/>
        <v>1971.21</v>
      </c>
      <c r="CT271" s="40">
        <f t="shared" si="789"/>
        <v>4070</v>
      </c>
      <c r="CU271" s="40">
        <f t="shared" si="789"/>
        <v>4061.21</v>
      </c>
      <c r="CV271" s="40">
        <f t="shared" si="789"/>
        <v>4095</v>
      </c>
      <c r="CW271" s="40">
        <f t="shared" si="789"/>
        <v>1015.3</v>
      </c>
      <c r="CX271" s="40">
        <f t="shared" si="789"/>
        <v>1023.75</v>
      </c>
      <c r="CY271" s="40">
        <f t="shared" si="789"/>
        <v>0</v>
      </c>
      <c r="CZ271" s="40">
        <f t="shared" si="789"/>
        <v>0</v>
      </c>
      <c r="DA271" s="40">
        <f t="shared" si="789"/>
        <v>2645.3</v>
      </c>
      <c r="DB271" s="40">
        <f t="shared" si="789"/>
        <v>2470.75</v>
      </c>
      <c r="DC271" s="40">
        <f t="shared" si="789"/>
        <v>2463.04</v>
      </c>
      <c r="DD271" s="40">
        <f t="shared" si="789"/>
        <v>2607</v>
      </c>
      <c r="DE271" s="40">
        <f t="shared" si="789"/>
        <v>182.26000000000005</v>
      </c>
      <c r="DF271" s="40">
        <f t="shared" si="789"/>
        <v>-136.24999999999986</v>
      </c>
      <c r="DG271" s="40">
        <f t="shared" si="789"/>
        <v>1015.3</v>
      </c>
      <c r="DH271" s="40">
        <f t="shared" si="789"/>
        <v>1018.75</v>
      </c>
      <c r="DI271" s="40">
        <f t="shared" si="789"/>
        <v>833.04</v>
      </c>
      <c r="DJ271" s="40">
        <f t="shared" si="789"/>
        <v>1157.6599999999999</v>
      </c>
      <c r="DK271" s="40">
        <f t="shared" si="789"/>
        <v>25</v>
      </c>
      <c r="DL271" s="40">
        <f t="shared" si="789"/>
        <v>100</v>
      </c>
      <c r="DM271" s="40">
        <f t="shared" si="789"/>
        <v>3503.34</v>
      </c>
      <c r="DN271" s="70">
        <f t="shared" si="789"/>
        <v>3728.41</v>
      </c>
      <c r="DO271" s="70">
        <f t="shared" si="789"/>
        <v>3438.77</v>
      </c>
      <c r="DP271" s="70">
        <f t="shared" si="789"/>
        <v>3738.9300000000003</v>
      </c>
      <c r="DQ271" s="70">
        <f t="shared" si="789"/>
        <v>64.570000000000007</v>
      </c>
      <c r="DR271" s="70">
        <f t="shared" si="789"/>
        <v>-10.52</v>
      </c>
      <c r="DS271" s="70">
        <f t="shared" si="789"/>
        <v>343.87700000000001</v>
      </c>
      <c r="DT271" s="70">
        <f t="shared" si="789"/>
        <v>373.89299999999997</v>
      </c>
      <c r="DU271" s="70">
        <f t="shared" si="789"/>
        <v>279.30700000000002</v>
      </c>
      <c r="DV271" s="70">
        <f t="shared" si="789"/>
        <v>384.41300000000001</v>
      </c>
      <c r="DW271" s="70">
        <f t="shared" si="789"/>
        <v>0</v>
      </c>
      <c r="DX271" s="70">
        <f t="shared" si="789"/>
        <v>50</v>
      </c>
      <c r="DY271" s="70">
        <f t="shared" si="789"/>
        <v>279.31</v>
      </c>
      <c r="DZ271" s="70">
        <f t="shared" si="789"/>
        <v>425.42</v>
      </c>
      <c r="EA271" s="70">
        <f t="shared" si="789"/>
        <v>0</v>
      </c>
      <c r="EB271" s="96">
        <f t="shared" si="789"/>
        <v>0</v>
      </c>
      <c r="EC271" s="70">
        <f t="shared" si="789"/>
        <v>3782.6499999999996</v>
      </c>
      <c r="ED271" s="70">
        <f t="shared" si="789"/>
        <v>4153.83</v>
      </c>
      <c r="EE271" s="70">
        <f t="shared" si="789"/>
        <v>3771.96</v>
      </c>
      <c r="EF271" s="70">
        <f t="shared" si="789"/>
        <v>4121.75</v>
      </c>
      <c r="EG271" s="70" t="e">
        <f t="shared" si="789"/>
        <v>#DIV/0!</v>
      </c>
      <c r="EH271" s="70" t="e">
        <f t="shared" si="789"/>
        <v>#DIV/0!</v>
      </c>
      <c r="EI271" s="70">
        <f t="shared" si="789"/>
        <v>10.690000000000001</v>
      </c>
      <c r="EJ271" s="70">
        <f t="shared" si="789"/>
        <v>32.08</v>
      </c>
      <c r="EK271" s="70">
        <f t="shared" si="789"/>
        <v>342.9</v>
      </c>
      <c r="EL271" s="70">
        <f t="shared" si="789"/>
        <v>374.7</v>
      </c>
      <c r="EM271" s="70">
        <f t="shared" si="789"/>
        <v>332.21000000000004</v>
      </c>
      <c r="EN271" s="70">
        <f t="shared" si="789"/>
        <v>342.62</v>
      </c>
      <c r="EO271" s="70">
        <f t="shared" si="789"/>
        <v>590.75</v>
      </c>
      <c r="EP271" s="70">
        <f t="shared" si="789"/>
        <v>400</v>
      </c>
      <c r="EQ271" s="79"/>
      <c r="ER271" s="62"/>
      <c r="ES271" s="62">
        <f t="shared" si="789"/>
        <v>0</v>
      </c>
      <c r="ET271" s="62">
        <f t="shared" si="789"/>
        <v>0</v>
      </c>
      <c r="EU271" s="5">
        <f t="shared" si="642"/>
        <v>134.36000000000058</v>
      </c>
      <c r="EV271" s="5">
        <f t="shared" si="642"/>
        <v>21.170000000000073</v>
      </c>
      <c r="EW271" s="62">
        <f t="shared" si="789"/>
        <v>4507.76</v>
      </c>
      <c r="EX271" s="62">
        <f t="shared" si="789"/>
        <v>4575</v>
      </c>
      <c r="EY271" s="62">
        <f t="shared" si="789"/>
        <v>5235</v>
      </c>
      <c r="EZ271" s="62">
        <f t="shared" si="789"/>
        <v>5000</v>
      </c>
      <c r="FA271" s="64">
        <f t="shared" si="789"/>
        <v>0</v>
      </c>
      <c r="FB271" s="64">
        <f t="shared" si="789"/>
        <v>0</v>
      </c>
      <c r="FC271" s="64">
        <f t="shared" si="789"/>
        <v>0</v>
      </c>
      <c r="FD271" s="64">
        <f t="shared" si="789"/>
        <v>0</v>
      </c>
      <c r="FE271" s="64">
        <f t="shared" si="789"/>
        <v>0</v>
      </c>
    </row>
    <row r="272" spans="1:161" ht="18.75" x14ac:dyDescent="0.25">
      <c r="A272" s="37">
        <v>1</v>
      </c>
      <c r="B272" s="37"/>
      <c r="C272" s="80"/>
      <c r="D272" s="38" t="s">
        <v>553</v>
      </c>
      <c r="E272" s="39"/>
      <c r="F272" s="40">
        <v>8182.66</v>
      </c>
      <c r="G272" s="40">
        <v>5831.45</v>
      </c>
      <c r="H272" s="40">
        <v>8532.66</v>
      </c>
      <c r="I272" s="40">
        <v>5831.45</v>
      </c>
      <c r="J272" s="41">
        <v>9000</v>
      </c>
      <c r="K272" s="41"/>
      <c r="L272" s="41"/>
      <c r="M272" s="71">
        <f t="shared" si="783"/>
        <v>9000</v>
      </c>
      <c r="N272" s="41"/>
      <c r="O272" s="41"/>
      <c r="P272" s="41"/>
      <c r="Q272" s="71">
        <f t="shared" ref="Q272" si="790">+P272+O272+N272</f>
        <v>0</v>
      </c>
      <c r="R272" s="71">
        <f t="shared" si="735"/>
        <v>9000</v>
      </c>
      <c r="S272" s="41">
        <v>6200</v>
      </c>
      <c r="T272" s="92"/>
      <c r="U272" s="92"/>
      <c r="V272" s="40">
        <v>9018.7099999999991</v>
      </c>
      <c r="W272" s="40">
        <f>ROUND(I272*1.0327,2)+3.81</f>
        <v>6025.9500000000007</v>
      </c>
      <c r="X272" s="43">
        <f t="shared" si="716"/>
        <v>-18.709999999999127</v>
      </c>
      <c r="Y272" s="43">
        <f t="shared" si="716"/>
        <v>174.04999999999927</v>
      </c>
      <c r="Z272" s="43">
        <v>9100</v>
      </c>
      <c r="AA272" s="43"/>
      <c r="AB272" s="43">
        <f t="shared" si="742"/>
        <v>9100</v>
      </c>
      <c r="AC272" s="43">
        <f t="shared" si="743"/>
        <v>0</v>
      </c>
      <c r="AD272" s="43">
        <v>9100</v>
      </c>
      <c r="AE272" s="43">
        <v>6900</v>
      </c>
      <c r="AF272" s="43">
        <f>ROUND(S272*0.9022,2)+500</f>
        <v>6093.64</v>
      </c>
      <c r="AG272" s="43">
        <v>2250</v>
      </c>
      <c r="AH272" s="43">
        <v>1756</v>
      </c>
      <c r="AI272" s="93">
        <v>750</v>
      </c>
      <c r="AJ272" s="43">
        <v>620</v>
      </c>
      <c r="AK272" s="43"/>
      <c r="AL272" s="43"/>
      <c r="AM272" s="43">
        <v>2250</v>
      </c>
      <c r="AN272" s="43">
        <v>1710.82</v>
      </c>
      <c r="AO272" s="43"/>
      <c r="AP272" s="43"/>
      <c r="AQ272" s="43">
        <f t="shared" si="723"/>
        <v>4500</v>
      </c>
      <c r="AR272" s="43">
        <f t="shared" si="723"/>
        <v>3466.8199999999997</v>
      </c>
      <c r="AS272" s="43"/>
      <c r="AT272" s="43"/>
      <c r="AU272" s="43">
        <f t="shared" si="623"/>
        <v>2275</v>
      </c>
      <c r="AV272" s="43">
        <f t="shared" si="623"/>
        <v>1725</v>
      </c>
      <c r="AW272" s="43"/>
      <c r="AX272" s="43">
        <v>650</v>
      </c>
      <c r="AY272" s="43">
        <f t="shared" si="724"/>
        <v>7525</v>
      </c>
      <c r="AZ272" s="43">
        <f t="shared" si="724"/>
        <v>6461.82</v>
      </c>
      <c r="BA272" s="43">
        <f t="shared" si="725"/>
        <v>13986.82</v>
      </c>
      <c r="BB272" s="60">
        <v>7254.45</v>
      </c>
      <c r="BC272" s="60">
        <v>6674.79</v>
      </c>
      <c r="BD272" s="60">
        <f t="shared" si="726"/>
        <v>270.55000000000018</v>
      </c>
      <c r="BE272" s="60">
        <f t="shared" si="726"/>
        <v>-212.97000000000025</v>
      </c>
      <c r="BF272" s="60">
        <f t="shared" si="727"/>
        <v>1450.89</v>
      </c>
      <c r="BG272" s="60">
        <f t="shared" si="727"/>
        <v>1334.96</v>
      </c>
      <c r="BH272" s="43">
        <v>590.16999999999996</v>
      </c>
      <c r="BI272" s="43">
        <v>773.97</v>
      </c>
      <c r="BJ272" s="43">
        <v>500</v>
      </c>
      <c r="BK272" s="43"/>
      <c r="BL272" s="43">
        <f t="shared" si="739"/>
        <v>8615.17</v>
      </c>
      <c r="BM272" s="43">
        <f t="shared" si="739"/>
        <v>7235.79</v>
      </c>
      <c r="BN272" s="43">
        <f t="shared" si="751"/>
        <v>15850.96</v>
      </c>
      <c r="BO272" s="43">
        <v>8033.54</v>
      </c>
      <c r="BP272" s="93">
        <v>8305.66</v>
      </c>
      <c r="BQ272" s="43">
        <f t="shared" si="752"/>
        <v>581.63000000000011</v>
      </c>
      <c r="BR272" s="43">
        <f t="shared" si="752"/>
        <v>-1069.8699999999999</v>
      </c>
      <c r="BS272" s="43">
        <f t="shared" si="753"/>
        <v>730.32</v>
      </c>
      <c r="BT272" s="43">
        <f t="shared" si="753"/>
        <v>755.06</v>
      </c>
      <c r="BU272" s="43">
        <f t="shared" si="779"/>
        <v>148.68999999999994</v>
      </c>
      <c r="BV272" s="43">
        <f>ROUND(BT272-BR272,2)-1824.93</f>
        <v>0</v>
      </c>
      <c r="BW272" s="43">
        <f>100+80+5.55</f>
        <v>185.55</v>
      </c>
      <c r="BX272" s="43"/>
      <c r="BY272" s="43"/>
      <c r="BZ272" s="43">
        <f>470.02+10.94</f>
        <v>480.96</v>
      </c>
      <c r="CA272" s="43">
        <v>8949.41</v>
      </c>
      <c r="CB272" s="43">
        <v>7716.75</v>
      </c>
      <c r="CC272" s="92">
        <v>9844.35</v>
      </c>
      <c r="CD272" s="92">
        <v>8874.26</v>
      </c>
      <c r="CE272" s="92">
        <v>820</v>
      </c>
      <c r="CF272" s="92">
        <v>700</v>
      </c>
      <c r="CG272" s="92">
        <f t="shared" si="754"/>
        <v>2237.35</v>
      </c>
      <c r="CH272" s="92">
        <f t="shared" si="754"/>
        <v>1929.19</v>
      </c>
      <c r="CI272" s="43"/>
      <c r="CJ272" s="43"/>
      <c r="CK272" s="43">
        <v>2500</v>
      </c>
      <c r="CL272" s="43">
        <v>2295.42</v>
      </c>
      <c r="CM272" s="43"/>
      <c r="CN272" s="43"/>
      <c r="CO272" s="43">
        <v>9845</v>
      </c>
      <c r="CP272" s="43">
        <v>10400</v>
      </c>
      <c r="CQ272" s="43">
        <f t="shared" si="755"/>
        <v>10000</v>
      </c>
      <c r="CR272" s="43">
        <f>ROUND(CL272/3*12,2)+1218.32</f>
        <v>10400</v>
      </c>
      <c r="CS272" s="43">
        <f t="shared" si="756"/>
        <v>9845</v>
      </c>
      <c r="CT272" s="43">
        <f t="shared" si="756"/>
        <v>10400</v>
      </c>
      <c r="CU272" s="43">
        <f t="shared" si="756"/>
        <v>9845</v>
      </c>
      <c r="CV272" s="43">
        <f t="shared" si="756"/>
        <v>10400</v>
      </c>
      <c r="CW272" s="43">
        <f>ROUND(CU272*25%,2)-0.48</f>
        <v>2460.77</v>
      </c>
      <c r="CX272" s="43">
        <f>ROUND(CV272*25%,2)-0.08-0.01</f>
        <v>2599.91</v>
      </c>
      <c r="CY272" s="43"/>
      <c r="CZ272" s="43"/>
      <c r="DA272" s="43">
        <f t="shared" si="758"/>
        <v>5780.77</v>
      </c>
      <c r="DB272" s="43">
        <f t="shared" si="758"/>
        <v>5595.33</v>
      </c>
      <c r="DC272" s="43">
        <v>5405.05</v>
      </c>
      <c r="DD272" s="43">
        <v>4090.12</v>
      </c>
      <c r="DE272" s="43">
        <f t="shared" si="759"/>
        <v>375.72000000000025</v>
      </c>
      <c r="DF272" s="43">
        <f t="shared" si="759"/>
        <v>1505.21</v>
      </c>
      <c r="DG272" s="43">
        <f t="shared" ref="DG272:DH285" si="791">ROUND(0.25*(MIN(CU272,EW272)),2)</f>
        <v>2461.25</v>
      </c>
      <c r="DH272" s="43">
        <f t="shared" si="791"/>
        <v>2300</v>
      </c>
      <c r="DI272" s="43">
        <f>+DG272-DE272-0.87</f>
        <v>2084.66</v>
      </c>
      <c r="DJ272" s="43">
        <v>618.99</v>
      </c>
      <c r="DK272" s="43">
        <v>200</v>
      </c>
      <c r="DL272" s="43">
        <v>800</v>
      </c>
      <c r="DM272" s="43">
        <f t="shared" si="760"/>
        <v>8065.43</v>
      </c>
      <c r="DN272" s="43">
        <f t="shared" si="760"/>
        <v>7014.32</v>
      </c>
      <c r="DO272" s="94">
        <v>7841.79</v>
      </c>
      <c r="DP272" s="95">
        <v>6816.79</v>
      </c>
      <c r="DQ272" s="60">
        <f t="shared" si="761"/>
        <v>223.64</v>
      </c>
      <c r="DR272" s="60">
        <f t="shared" si="761"/>
        <v>197.53</v>
      </c>
      <c r="DS272" s="60">
        <f t="shared" si="762"/>
        <v>784.17899999999997</v>
      </c>
      <c r="DT272" s="60">
        <f t="shared" si="762"/>
        <v>681.67899999999997</v>
      </c>
      <c r="DU272" s="60">
        <f t="shared" si="763"/>
        <v>560.53899999999999</v>
      </c>
      <c r="DV272" s="60">
        <f t="shared" si="763"/>
        <v>484.149</v>
      </c>
      <c r="DW272" s="60"/>
      <c r="DX272" s="60"/>
      <c r="DY272" s="60">
        <f>ROUND(DU272+DW272,2)+240-0.54</f>
        <v>800</v>
      </c>
      <c r="DZ272" s="60">
        <v>700</v>
      </c>
      <c r="EA272" s="60"/>
      <c r="EB272" s="60"/>
      <c r="EC272" s="43">
        <f t="shared" si="764"/>
        <v>8865.43</v>
      </c>
      <c r="ED272" s="43">
        <f t="shared" si="764"/>
        <v>7714.32</v>
      </c>
      <c r="EE272" s="43">
        <v>8634.23</v>
      </c>
      <c r="EF272" s="43">
        <v>7430.74</v>
      </c>
      <c r="EG272" s="43">
        <f t="shared" si="607"/>
        <v>97.39</v>
      </c>
      <c r="EH272" s="43">
        <f t="shared" si="607"/>
        <v>96.32</v>
      </c>
      <c r="EI272" s="43">
        <f t="shared" si="765"/>
        <v>231.2</v>
      </c>
      <c r="EJ272" s="43">
        <f t="shared" si="765"/>
        <v>283.58</v>
      </c>
      <c r="EK272" s="43">
        <f t="shared" si="766"/>
        <v>784.93</v>
      </c>
      <c r="EL272" s="43">
        <f t="shared" si="766"/>
        <v>675.52</v>
      </c>
      <c r="EM272" s="43">
        <f t="shared" si="767"/>
        <v>553.73</v>
      </c>
      <c r="EN272" s="43">
        <f t="shared" si="767"/>
        <v>391.94</v>
      </c>
      <c r="EO272" s="43">
        <v>700</v>
      </c>
      <c r="EP272" s="43">
        <v>735</v>
      </c>
      <c r="EQ272" s="5"/>
      <c r="ER272" s="5"/>
      <c r="ES272" s="5"/>
      <c r="ET272" s="5"/>
      <c r="EU272" s="5">
        <f t="shared" si="642"/>
        <v>279.56999999999971</v>
      </c>
      <c r="EV272" s="5">
        <f t="shared" si="642"/>
        <v>750.68000000000029</v>
      </c>
      <c r="EW272" s="5">
        <v>9845</v>
      </c>
      <c r="EX272" s="5">
        <v>9200</v>
      </c>
      <c r="EY272" s="5">
        <v>10800</v>
      </c>
      <c r="EZ272" s="5">
        <v>8000</v>
      </c>
    </row>
    <row r="273" spans="1:160" ht="18.75" x14ac:dyDescent="0.25">
      <c r="A273" s="37">
        <v>2</v>
      </c>
      <c r="B273" s="37"/>
      <c r="C273" s="80"/>
      <c r="D273" s="38" t="s">
        <v>554</v>
      </c>
      <c r="E273" s="39"/>
      <c r="F273" s="40">
        <v>0</v>
      </c>
      <c r="G273" s="40">
        <v>0</v>
      </c>
      <c r="H273" s="40">
        <v>0</v>
      </c>
      <c r="I273" s="40">
        <v>0</v>
      </c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92"/>
      <c r="U273" s="92"/>
      <c r="V273" s="40"/>
      <c r="W273" s="40">
        <f t="shared" ref="W273:W285" si="792">+U273+V273</f>
        <v>0</v>
      </c>
      <c r="X273" s="43">
        <f t="shared" si="716"/>
        <v>0</v>
      </c>
      <c r="Y273" s="43">
        <f t="shared" si="716"/>
        <v>0</v>
      </c>
      <c r="Z273" s="43"/>
      <c r="AA273" s="43"/>
      <c r="AB273" s="43">
        <f t="shared" si="742"/>
        <v>0</v>
      </c>
      <c r="AC273" s="43">
        <f t="shared" si="743"/>
        <v>0</v>
      </c>
      <c r="AD273" s="43"/>
      <c r="AE273" s="43"/>
      <c r="AF273" s="43">
        <f t="shared" si="718"/>
        <v>0</v>
      </c>
      <c r="AG273" s="43">
        <f t="shared" si="719"/>
        <v>0</v>
      </c>
      <c r="AH273" s="43">
        <f t="shared" si="719"/>
        <v>0</v>
      </c>
      <c r="AI273" s="93">
        <f t="shared" si="720"/>
        <v>0</v>
      </c>
      <c r="AJ273" s="43">
        <f t="shared" si="720"/>
        <v>0</v>
      </c>
      <c r="AK273" s="43"/>
      <c r="AL273" s="43"/>
      <c r="AM273" s="43">
        <f t="shared" si="721"/>
        <v>0</v>
      </c>
      <c r="AN273" s="43">
        <f t="shared" si="722"/>
        <v>0</v>
      </c>
      <c r="AO273" s="43"/>
      <c r="AP273" s="43"/>
      <c r="AQ273" s="43">
        <f t="shared" si="723"/>
        <v>0</v>
      </c>
      <c r="AR273" s="43">
        <f t="shared" si="723"/>
        <v>0</v>
      </c>
      <c r="AS273" s="43"/>
      <c r="AT273" s="43"/>
      <c r="AU273" s="43">
        <f t="shared" si="623"/>
        <v>0</v>
      </c>
      <c r="AV273" s="43">
        <f t="shared" si="623"/>
        <v>0</v>
      </c>
      <c r="AW273" s="43"/>
      <c r="AX273" s="43"/>
      <c r="AY273" s="43">
        <f t="shared" si="724"/>
        <v>0</v>
      </c>
      <c r="AZ273" s="43">
        <f t="shared" si="724"/>
        <v>0</v>
      </c>
      <c r="BA273" s="43">
        <f t="shared" si="725"/>
        <v>0</v>
      </c>
      <c r="BB273" s="60"/>
      <c r="BC273" s="60"/>
      <c r="BD273" s="60">
        <f t="shared" si="726"/>
        <v>0</v>
      </c>
      <c r="BE273" s="60">
        <f t="shared" si="726"/>
        <v>0</v>
      </c>
      <c r="BF273" s="60">
        <f t="shared" si="727"/>
        <v>0</v>
      </c>
      <c r="BG273" s="60">
        <f t="shared" si="727"/>
        <v>0</v>
      </c>
      <c r="BH273" s="43">
        <v>0</v>
      </c>
      <c r="BI273" s="43">
        <v>0</v>
      </c>
      <c r="BJ273" s="43"/>
      <c r="BK273" s="43"/>
      <c r="BL273" s="43">
        <f t="shared" si="739"/>
        <v>0</v>
      </c>
      <c r="BM273" s="43">
        <f t="shared" si="739"/>
        <v>0</v>
      </c>
      <c r="BN273" s="43">
        <f t="shared" si="751"/>
        <v>0</v>
      </c>
      <c r="BO273" s="43"/>
      <c r="BP273" s="93"/>
      <c r="BQ273" s="43">
        <f t="shared" si="752"/>
        <v>0</v>
      </c>
      <c r="BR273" s="43">
        <f t="shared" si="752"/>
        <v>0</v>
      </c>
      <c r="BS273" s="43">
        <f t="shared" si="753"/>
        <v>0</v>
      </c>
      <c r="BT273" s="43">
        <f t="shared" si="753"/>
        <v>0</v>
      </c>
      <c r="BU273" s="43">
        <f t="shared" si="779"/>
        <v>0</v>
      </c>
      <c r="BV273" s="43">
        <f t="shared" ref="BV273:BV285" si="793">ROUND(BT273-BR273,2)</f>
        <v>0</v>
      </c>
      <c r="BW273" s="43"/>
      <c r="BX273" s="43"/>
      <c r="BY273" s="43"/>
      <c r="BZ273" s="43"/>
      <c r="CA273" s="43">
        <v>0</v>
      </c>
      <c r="CB273" s="43">
        <v>0</v>
      </c>
      <c r="CC273" s="92">
        <v>0</v>
      </c>
      <c r="CD273" s="92">
        <v>0</v>
      </c>
      <c r="CE273" s="92">
        <v>0</v>
      </c>
      <c r="CF273" s="92">
        <v>0</v>
      </c>
      <c r="CG273" s="92">
        <f t="shared" si="754"/>
        <v>0</v>
      </c>
      <c r="CH273" s="92">
        <f t="shared" si="754"/>
        <v>0</v>
      </c>
      <c r="CI273" s="43"/>
      <c r="CJ273" s="43"/>
      <c r="CK273" s="43"/>
      <c r="CL273" s="43"/>
      <c r="CM273" s="43"/>
      <c r="CN273" s="43"/>
      <c r="CO273" s="43"/>
      <c r="CP273" s="43"/>
      <c r="CQ273" s="43">
        <f t="shared" si="755"/>
        <v>0</v>
      </c>
      <c r="CR273" s="43">
        <f t="shared" si="755"/>
        <v>0</v>
      </c>
      <c r="CS273" s="43">
        <f t="shared" si="756"/>
        <v>0</v>
      </c>
      <c r="CT273" s="43">
        <f t="shared" si="756"/>
        <v>0</v>
      </c>
      <c r="CU273" s="43"/>
      <c r="CV273" s="43"/>
      <c r="CW273" s="43">
        <f t="shared" si="757"/>
        <v>0</v>
      </c>
      <c r="CX273" s="43">
        <f t="shared" si="757"/>
        <v>0</v>
      </c>
      <c r="CY273" s="43"/>
      <c r="CZ273" s="43"/>
      <c r="DA273" s="43">
        <f t="shared" si="758"/>
        <v>0</v>
      </c>
      <c r="DB273" s="43">
        <f t="shared" si="758"/>
        <v>0</v>
      </c>
      <c r="DC273" s="43"/>
      <c r="DD273" s="43"/>
      <c r="DE273" s="43">
        <f t="shared" si="759"/>
        <v>0</v>
      </c>
      <c r="DF273" s="43">
        <f t="shared" si="759"/>
        <v>0</v>
      </c>
      <c r="DG273" s="43">
        <f t="shared" si="791"/>
        <v>0</v>
      </c>
      <c r="DH273" s="43">
        <f t="shared" si="791"/>
        <v>0</v>
      </c>
      <c r="DI273" s="43">
        <f t="shared" ref="DI273:DJ285" si="794">+DG273-DE273</f>
        <v>0</v>
      </c>
      <c r="DJ273" s="43">
        <f t="shared" si="794"/>
        <v>0</v>
      </c>
      <c r="DK273" s="43"/>
      <c r="DL273" s="43"/>
      <c r="DM273" s="43">
        <f t="shared" si="760"/>
        <v>0</v>
      </c>
      <c r="DN273" s="43">
        <f t="shared" si="760"/>
        <v>0</v>
      </c>
      <c r="DO273" s="60"/>
      <c r="DP273" s="60"/>
      <c r="DQ273" s="60">
        <f t="shared" si="761"/>
        <v>0</v>
      </c>
      <c r="DR273" s="60">
        <f t="shared" si="761"/>
        <v>0</v>
      </c>
      <c r="DS273" s="60">
        <f t="shared" si="762"/>
        <v>0</v>
      </c>
      <c r="DT273" s="60">
        <f t="shared" si="762"/>
        <v>0</v>
      </c>
      <c r="DU273" s="60">
        <f t="shared" si="763"/>
        <v>0</v>
      </c>
      <c r="DV273" s="60">
        <f t="shared" si="763"/>
        <v>0</v>
      </c>
      <c r="DW273" s="60"/>
      <c r="DX273" s="60"/>
      <c r="DY273" s="60">
        <f t="shared" si="701"/>
        <v>0</v>
      </c>
      <c r="DZ273" s="60">
        <f t="shared" si="701"/>
        <v>0</v>
      </c>
      <c r="EA273" s="60"/>
      <c r="EB273" s="60"/>
      <c r="EC273" s="43">
        <f t="shared" si="764"/>
        <v>0</v>
      </c>
      <c r="ED273" s="43">
        <f t="shared" si="764"/>
        <v>0</v>
      </c>
      <c r="EE273" s="43"/>
      <c r="EF273" s="43"/>
      <c r="EG273" s="43" t="e">
        <f t="shared" si="607"/>
        <v>#DIV/0!</v>
      </c>
      <c r="EH273" s="43" t="e">
        <f t="shared" si="607"/>
        <v>#DIV/0!</v>
      </c>
      <c r="EI273" s="43">
        <f t="shared" si="765"/>
        <v>0</v>
      </c>
      <c r="EJ273" s="43">
        <f t="shared" si="765"/>
        <v>0</v>
      </c>
      <c r="EK273" s="43">
        <f t="shared" si="766"/>
        <v>0</v>
      </c>
      <c r="EL273" s="43">
        <f t="shared" si="766"/>
        <v>0</v>
      </c>
      <c r="EM273" s="43">
        <f t="shared" si="767"/>
        <v>0</v>
      </c>
      <c r="EN273" s="43">
        <f t="shared" si="767"/>
        <v>0</v>
      </c>
      <c r="EO273" s="43"/>
      <c r="EP273" s="43"/>
      <c r="EQ273" s="5"/>
      <c r="ER273" s="5"/>
      <c r="ES273" s="5"/>
      <c r="ET273" s="5"/>
      <c r="EU273" s="5">
        <f t="shared" si="642"/>
        <v>0</v>
      </c>
      <c r="EV273" s="5">
        <f t="shared" si="642"/>
        <v>0</v>
      </c>
    </row>
    <row r="274" spans="1:160" ht="18.75" x14ac:dyDescent="0.25">
      <c r="A274" s="37">
        <v>3</v>
      </c>
      <c r="B274" s="37"/>
      <c r="C274" s="80"/>
      <c r="D274" s="38" t="s">
        <v>555</v>
      </c>
      <c r="E274" s="39"/>
      <c r="F274" s="40">
        <v>0</v>
      </c>
      <c r="G274" s="40">
        <v>0</v>
      </c>
      <c r="H274" s="40">
        <v>0</v>
      </c>
      <c r="I274" s="40">
        <v>0</v>
      </c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92"/>
      <c r="U274" s="92"/>
      <c r="V274" s="40"/>
      <c r="W274" s="40">
        <f t="shared" si="792"/>
        <v>0</v>
      </c>
      <c r="X274" s="43">
        <f t="shared" si="716"/>
        <v>0</v>
      </c>
      <c r="Y274" s="43">
        <f t="shared" si="716"/>
        <v>0</v>
      </c>
      <c r="Z274" s="43"/>
      <c r="AA274" s="43"/>
      <c r="AB274" s="43">
        <f t="shared" si="742"/>
        <v>0</v>
      </c>
      <c r="AC274" s="43">
        <f t="shared" si="743"/>
        <v>0</v>
      </c>
      <c r="AD274" s="43"/>
      <c r="AE274" s="43"/>
      <c r="AF274" s="43">
        <f t="shared" si="718"/>
        <v>0</v>
      </c>
      <c r="AG274" s="43">
        <f t="shared" si="719"/>
        <v>0</v>
      </c>
      <c r="AH274" s="43">
        <f t="shared" si="719"/>
        <v>0</v>
      </c>
      <c r="AI274" s="93">
        <f t="shared" si="720"/>
        <v>0</v>
      </c>
      <c r="AJ274" s="43">
        <f t="shared" si="720"/>
        <v>0</v>
      </c>
      <c r="AK274" s="43"/>
      <c r="AL274" s="43"/>
      <c r="AM274" s="43">
        <f t="shared" si="721"/>
        <v>0</v>
      </c>
      <c r="AN274" s="43">
        <f t="shared" si="722"/>
        <v>0</v>
      </c>
      <c r="AO274" s="43"/>
      <c r="AP274" s="43"/>
      <c r="AQ274" s="43">
        <f t="shared" si="723"/>
        <v>0</v>
      </c>
      <c r="AR274" s="43">
        <f t="shared" si="723"/>
        <v>0</v>
      </c>
      <c r="AS274" s="43"/>
      <c r="AT274" s="43"/>
      <c r="AU274" s="43">
        <f t="shared" si="623"/>
        <v>0</v>
      </c>
      <c r="AV274" s="43">
        <f t="shared" si="623"/>
        <v>0</v>
      </c>
      <c r="AW274" s="43"/>
      <c r="AX274" s="43"/>
      <c r="AY274" s="43">
        <f t="shared" si="724"/>
        <v>0</v>
      </c>
      <c r="AZ274" s="43">
        <f t="shared" si="724"/>
        <v>0</v>
      </c>
      <c r="BA274" s="43">
        <f t="shared" si="725"/>
        <v>0</v>
      </c>
      <c r="BB274" s="60"/>
      <c r="BC274" s="60"/>
      <c r="BD274" s="60">
        <f t="shared" si="726"/>
        <v>0</v>
      </c>
      <c r="BE274" s="60">
        <f t="shared" si="726"/>
        <v>0</v>
      </c>
      <c r="BF274" s="60">
        <f t="shared" si="727"/>
        <v>0</v>
      </c>
      <c r="BG274" s="60">
        <f t="shared" si="727"/>
        <v>0</v>
      </c>
      <c r="BH274" s="43">
        <v>0</v>
      </c>
      <c r="BI274" s="43">
        <v>0</v>
      </c>
      <c r="BJ274" s="43"/>
      <c r="BK274" s="43"/>
      <c r="BL274" s="43">
        <f t="shared" si="739"/>
        <v>0</v>
      </c>
      <c r="BM274" s="43">
        <f t="shared" si="739"/>
        <v>0</v>
      </c>
      <c r="BN274" s="43">
        <f t="shared" si="751"/>
        <v>0</v>
      </c>
      <c r="BO274" s="43"/>
      <c r="BP274" s="93"/>
      <c r="BQ274" s="43">
        <f t="shared" si="752"/>
        <v>0</v>
      </c>
      <c r="BR274" s="43">
        <f t="shared" si="752"/>
        <v>0</v>
      </c>
      <c r="BS274" s="43">
        <f t="shared" si="753"/>
        <v>0</v>
      </c>
      <c r="BT274" s="43">
        <f t="shared" si="753"/>
        <v>0</v>
      </c>
      <c r="BU274" s="43">
        <f t="shared" si="779"/>
        <v>0</v>
      </c>
      <c r="BV274" s="43">
        <f t="shared" si="793"/>
        <v>0</v>
      </c>
      <c r="BW274" s="43"/>
      <c r="BX274" s="43"/>
      <c r="BY274" s="43"/>
      <c r="BZ274" s="43"/>
      <c r="CA274" s="43">
        <v>0</v>
      </c>
      <c r="CB274" s="43">
        <v>0</v>
      </c>
      <c r="CC274" s="92">
        <v>0</v>
      </c>
      <c r="CD274" s="92">
        <v>0</v>
      </c>
      <c r="CE274" s="92">
        <v>0</v>
      </c>
      <c r="CF274" s="92">
        <v>0</v>
      </c>
      <c r="CG274" s="92">
        <f t="shared" si="754"/>
        <v>0</v>
      </c>
      <c r="CH274" s="92">
        <f t="shared" si="754"/>
        <v>0</v>
      </c>
      <c r="CI274" s="43"/>
      <c r="CJ274" s="43"/>
      <c r="CK274" s="43"/>
      <c r="CL274" s="43"/>
      <c r="CM274" s="43"/>
      <c r="CN274" s="43"/>
      <c r="CO274" s="43"/>
      <c r="CP274" s="43"/>
      <c r="CQ274" s="43">
        <f t="shared" si="755"/>
        <v>0</v>
      </c>
      <c r="CR274" s="43">
        <f t="shared" si="755"/>
        <v>0</v>
      </c>
      <c r="CS274" s="43">
        <f t="shared" si="756"/>
        <v>0</v>
      </c>
      <c r="CT274" s="43">
        <f t="shared" si="756"/>
        <v>0</v>
      </c>
      <c r="CU274" s="43"/>
      <c r="CV274" s="43"/>
      <c r="CW274" s="43">
        <f t="shared" si="757"/>
        <v>0</v>
      </c>
      <c r="CX274" s="43">
        <f t="shared" si="757"/>
        <v>0</v>
      </c>
      <c r="CY274" s="43"/>
      <c r="CZ274" s="43"/>
      <c r="DA274" s="43">
        <f t="shared" si="758"/>
        <v>0</v>
      </c>
      <c r="DB274" s="43">
        <f t="shared" si="758"/>
        <v>0</v>
      </c>
      <c r="DC274" s="43"/>
      <c r="DD274" s="43"/>
      <c r="DE274" s="43">
        <f t="shared" si="759"/>
        <v>0</v>
      </c>
      <c r="DF274" s="43">
        <f t="shared" si="759"/>
        <v>0</v>
      </c>
      <c r="DG274" s="43">
        <f t="shared" si="791"/>
        <v>0</v>
      </c>
      <c r="DH274" s="43">
        <f t="shared" si="791"/>
        <v>0</v>
      </c>
      <c r="DI274" s="43">
        <f t="shared" si="794"/>
        <v>0</v>
      </c>
      <c r="DJ274" s="43">
        <f t="shared" si="794"/>
        <v>0</v>
      </c>
      <c r="DK274" s="43"/>
      <c r="DL274" s="43"/>
      <c r="DM274" s="43">
        <f t="shared" si="760"/>
        <v>0</v>
      </c>
      <c r="DN274" s="43">
        <f t="shared" si="760"/>
        <v>0</v>
      </c>
      <c r="DO274" s="60"/>
      <c r="DP274" s="60"/>
      <c r="DQ274" s="60">
        <f t="shared" si="761"/>
        <v>0</v>
      </c>
      <c r="DR274" s="60">
        <f t="shared" si="761"/>
        <v>0</v>
      </c>
      <c r="DS274" s="60">
        <f t="shared" si="762"/>
        <v>0</v>
      </c>
      <c r="DT274" s="60">
        <f t="shared" si="762"/>
        <v>0</v>
      </c>
      <c r="DU274" s="60">
        <f t="shared" si="763"/>
        <v>0</v>
      </c>
      <c r="DV274" s="60">
        <f t="shared" si="763"/>
        <v>0</v>
      </c>
      <c r="DW274" s="60"/>
      <c r="DX274" s="60"/>
      <c r="DY274" s="60">
        <f t="shared" si="701"/>
        <v>0</v>
      </c>
      <c r="DZ274" s="60">
        <f t="shared" si="701"/>
        <v>0</v>
      </c>
      <c r="EA274" s="60"/>
      <c r="EB274" s="60"/>
      <c r="EC274" s="43">
        <f t="shared" si="764"/>
        <v>0</v>
      </c>
      <c r="ED274" s="43">
        <f t="shared" si="764"/>
        <v>0</v>
      </c>
      <c r="EE274" s="43"/>
      <c r="EF274" s="43"/>
      <c r="EG274" s="43" t="e">
        <f t="shared" si="607"/>
        <v>#DIV/0!</v>
      </c>
      <c r="EH274" s="43" t="e">
        <f t="shared" si="607"/>
        <v>#DIV/0!</v>
      </c>
      <c r="EI274" s="43">
        <f t="shared" si="765"/>
        <v>0</v>
      </c>
      <c r="EJ274" s="43">
        <f t="shared" si="765"/>
        <v>0</v>
      </c>
      <c r="EK274" s="43">
        <f t="shared" si="766"/>
        <v>0</v>
      </c>
      <c r="EL274" s="43">
        <f t="shared" si="766"/>
        <v>0</v>
      </c>
      <c r="EM274" s="43">
        <f t="shared" si="767"/>
        <v>0</v>
      </c>
      <c r="EN274" s="43">
        <f t="shared" si="767"/>
        <v>0</v>
      </c>
      <c r="EO274" s="43"/>
      <c r="EP274" s="43"/>
      <c r="EQ274" s="5"/>
      <c r="ER274" s="5"/>
      <c r="ES274" s="5"/>
      <c r="ET274" s="5"/>
      <c r="EU274" s="5">
        <f t="shared" si="642"/>
        <v>0</v>
      </c>
      <c r="EV274" s="5">
        <f t="shared" si="642"/>
        <v>0</v>
      </c>
    </row>
    <row r="275" spans="1:160" ht="18.75" x14ac:dyDescent="0.25">
      <c r="A275" s="37">
        <v>4</v>
      </c>
      <c r="B275" s="37"/>
      <c r="C275" s="80"/>
      <c r="D275" s="38" t="s">
        <v>556</v>
      </c>
      <c r="E275" s="39"/>
      <c r="F275" s="40">
        <v>0</v>
      </c>
      <c r="G275" s="40">
        <v>0</v>
      </c>
      <c r="H275" s="40">
        <v>0</v>
      </c>
      <c r="I275" s="40">
        <v>0</v>
      </c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92"/>
      <c r="U275" s="92"/>
      <c r="V275" s="40"/>
      <c r="W275" s="40">
        <f t="shared" si="792"/>
        <v>0</v>
      </c>
      <c r="X275" s="43">
        <f t="shared" si="716"/>
        <v>0</v>
      </c>
      <c r="Y275" s="43">
        <f t="shared" si="716"/>
        <v>0</v>
      </c>
      <c r="Z275" s="43"/>
      <c r="AA275" s="43"/>
      <c r="AB275" s="43">
        <f t="shared" si="742"/>
        <v>0</v>
      </c>
      <c r="AC275" s="43">
        <f t="shared" si="743"/>
        <v>0</v>
      </c>
      <c r="AD275" s="43"/>
      <c r="AE275" s="43"/>
      <c r="AF275" s="43">
        <f t="shared" si="718"/>
        <v>0</v>
      </c>
      <c r="AG275" s="43">
        <f t="shared" si="719"/>
        <v>0</v>
      </c>
      <c r="AH275" s="43">
        <f t="shared" si="719"/>
        <v>0</v>
      </c>
      <c r="AI275" s="93">
        <f t="shared" si="720"/>
        <v>0</v>
      </c>
      <c r="AJ275" s="43">
        <f t="shared" si="720"/>
        <v>0</v>
      </c>
      <c r="AK275" s="43"/>
      <c r="AL275" s="43"/>
      <c r="AM275" s="43">
        <f t="shared" si="721"/>
        <v>0</v>
      </c>
      <c r="AN275" s="43">
        <f t="shared" si="722"/>
        <v>0</v>
      </c>
      <c r="AO275" s="43"/>
      <c r="AP275" s="43"/>
      <c r="AQ275" s="43">
        <f t="shared" si="723"/>
        <v>0</v>
      </c>
      <c r="AR275" s="43">
        <f t="shared" si="723"/>
        <v>0</v>
      </c>
      <c r="AS275" s="43"/>
      <c r="AT275" s="43"/>
      <c r="AU275" s="43">
        <f t="shared" si="623"/>
        <v>0</v>
      </c>
      <c r="AV275" s="43">
        <f t="shared" si="623"/>
        <v>0</v>
      </c>
      <c r="AW275" s="43"/>
      <c r="AX275" s="43"/>
      <c r="AY275" s="43">
        <f t="shared" si="724"/>
        <v>0</v>
      </c>
      <c r="AZ275" s="43">
        <f t="shared" si="724"/>
        <v>0</v>
      </c>
      <c r="BA275" s="43">
        <f t="shared" si="725"/>
        <v>0</v>
      </c>
      <c r="BB275" s="60"/>
      <c r="BC275" s="60"/>
      <c r="BD275" s="60">
        <f t="shared" si="726"/>
        <v>0</v>
      </c>
      <c r="BE275" s="60">
        <f t="shared" si="726"/>
        <v>0</v>
      </c>
      <c r="BF275" s="60">
        <f t="shared" si="727"/>
        <v>0</v>
      </c>
      <c r="BG275" s="60">
        <f t="shared" si="727"/>
        <v>0</v>
      </c>
      <c r="BH275" s="43">
        <v>0</v>
      </c>
      <c r="BI275" s="43">
        <v>0</v>
      </c>
      <c r="BJ275" s="43"/>
      <c r="BK275" s="43"/>
      <c r="BL275" s="43">
        <f t="shared" si="739"/>
        <v>0</v>
      </c>
      <c r="BM275" s="43">
        <f t="shared" si="739"/>
        <v>0</v>
      </c>
      <c r="BN275" s="43">
        <f t="shared" si="751"/>
        <v>0</v>
      </c>
      <c r="BO275" s="43"/>
      <c r="BP275" s="93"/>
      <c r="BQ275" s="43">
        <f t="shared" si="752"/>
        <v>0</v>
      </c>
      <c r="BR275" s="43">
        <f t="shared" si="752"/>
        <v>0</v>
      </c>
      <c r="BS275" s="43">
        <f t="shared" si="753"/>
        <v>0</v>
      </c>
      <c r="BT275" s="43">
        <f t="shared" si="753"/>
        <v>0</v>
      </c>
      <c r="BU275" s="43">
        <f t="shared" si="779"/>
        <v>0</v>
      </c>
      <c r="BV275" s="43">
        <f t="shared" si="793"/>
        <v>0</v>
      </c>
      <c r="BW275" s="43"/>
      <c r="BX275" s="43"/>
      <c r="BY275" s="43"/>
      <c r="BZ275" s="43"/>
      <c r="CA275" s="43">
        <v>0</v>
      </c>
      <c r="CB275" s="43">
        <v>0</v>
      </c>
      <c r="CC275" s="92">
        <v>0</v>
      </c>
      <c r="CD275" s="92">
        <v>0</v>
      </c>
      <c r="CE275" s="92">
        <v>0</v>
      </c>
      <c r="CF275" s="92">
        <v>0</v>
      </c>
      <c r="CG275" s="92">
        <f t="shared" si="754"/>
        <v>0</v>
      </c>
      <c r="CH275" s="92">
        <f t="shared" si="754"/>
        <v>0</v>
      </c>
      <c r="CI275" s="43"/>
      <c r="CJ275" s="43"/>
      <c r="CK275" s="43"/>
      <c r="CL275" s="43"/>
      <c r="CM275" s="43"/>
      <c r="CN275" s="43"/>
      <c r="CO275" s="43"/>
      <c r="CP275" s="43"/>
      <c r="CQ275" s="43">
        <f t="shared" si="755"/>
        <v>0</v>
      </c>
      <c r="CR275" s="43">
        <f t="shared" si="755"/>
        <v>0</v>
      </c>
      <c r="CS275" s="43">
        <f t="shared" si="756"/>
        <v>0</v>
      </c>
      <c r="CT275" s="43">
        <f t="shared" si="756"/>
        <v>0</v>
      </c>
      <c r="CU275" s="43"/>
      <c r="CV275" s="43"/>
      <c r="CW275" s="43">
        <f t="shared" si="757"/>
        <v>0</v>
      </c>
      <c r="CX275" s="43">
        <f t="shared" si="757"/>
        <v>0</v>
      </c>
      <c r="CY275" s="43"/>
      <c r="CZ275" s="43"/>
      <c r="DA275" s="43">
        <f t="shared" si="758"/>
        <v>0</v>
      </c>
      <c r="DB275" s="43">
        <f t="shared" si="758"/>
        <v>0</v>
      </c>
      <c r="DC275" s="43"/>
      <c r="DD275" s="43"/>
      <c r="DE275" s="43">
        <f t="shared" si="759"/>
        <v>0</v>
      </c>
      <c r="DF275" s="43">
        <f t="shared" si="759"/>
        <v>0</v>
      </c>
      <c r="DG275" s="43">
        <f t="shared" si="791"/>
        <v>0</v>
      </c>
      <c r="DH275" s="43">
        <f t="shared" si="791"/>
        <v>0</v>
      </c>
      <c r="DI275" s="43">
        <f t="shared" si="794"/>
        <v>0</v>
      </c>
      <c r="DJ275" s="43">
        <f t="shared" si="794"/>
        <v>0</v>
      </c>
      <c r="DK275" s="43"/>
      <c r="DL275" s="43"/>
      <c r="DM275" s="43">
        <f t="shared" si="760"/>
        <v>0</v>
      </c>
      <c r="DN275" s="43">
        <f t="shared" si="760"/>
        <v>0</v>
      </c>
      <c r="DO275" s="60"/>
      <c r="DP275" s="60"/>
      <c r="DQ275" s="60">
        <f t="shared" si="761"/>
        <v>0</v>
      </c>
      <c r="DR275" s="60">
        <f t="shared" si="761"/>
        <v>0</v>
      </c>
      <c r="DS275" s="60">
        <f t="shared" si="762"/>
        <v>0</v>
      </c>
      <c r="DT275" s="60">
        <f t="shared" si="762"/>
        <v>0</v>
      </c>
      <c r="DU275" s="60">
        <f t="shared" si="763"/>
        <v>0</v>
      </c>
      <c r="DV275" s="60">
        <f t="shared" si="763"/>
        <v>0</v>
      </c>
      <c r="DW275" s="60"/>
      <c r="DX275" s="60"/>
      <c r="DY275" s="60">
        <f t="shared" si="701"/>
        <v>0</v>
      </c>
      <c r="DZ275" s="60">
        <f t="shared" si="701"/>
        <v>0</v>
      </c>
      <c r="EA275" s="60"/>
      <c r="EB275" s="60"/>
      <c r="EC275" s="43">
        <f t="shared" si="764"/>
        <v>0</v>
      </c>
      <c r="ED275" s="43">
        <f t="shared" si="764"/>
        <v>0</v>
      </c>
      <c r="EE275" s="43"/>
      <c r="EF275" s="43"/>
      <c r="EG275" s="43" t="e">
        <f t="shared" si="607"/>
        <v>#DIV/0!</v>
      </c>
      <c r="EH275" s="43" t="e">
        <f t="shared" si="607"/>
        <v>#DIV/0!</v>
      </c>
      <c r="EI275" s="43">
        <f t="shared" si="765"/>
        <v>0</v>
      </c>
      <c r="EJ275" s="43">
        <f t="shared" si="765"/>
        <v>0</v>
      </c>
      <c r="EK275" s="43">
        <f t="shared" si="766"/>
        <v>0</v>
      </c>
      <c r="EL275" s="43">
        <f t="shared" si="766"/>
        <v>0</v>
      </c>
      <c r="EM275" s="43">
        <f t="shared" si="767"/>
        <v>0</v>
      </c>
      <c r="EN275" s="43">
        <f t="shared" si="767"/>
        <v>0</v>
      </c>
      <c r="EO275" s="43"/>
      <c r="EP275" s="43"/>
      <c r="EQ275" s="5"/>
      <c r="ER275" s="5"/>
      <c r="ES275" s="5"/>
      <c r="ET275" s="5"/>
      <c r="EU275" s="5">
        <f t="shared" si="642"/>
        <v>0</v>
      </c>
      <c r="EV275" s="5">
        <f t="shared" si="642"/>
        <v>0</v>
      </c>
    </row>
    <row r="276" spans="1:160" ht="18.75" x14ac:dyDescent="0.25">
      <c r="A276" s="37">
        <v>5</v>
      </c>
      <c r="B276" s="37"/>
      <c r="C276" s="80"/>
      <c r="D276" s="38" t="s">
        <v>557</v>
      </c>
      <c r="E276" s="39"/>
      <c r="F276" s="40">
        <v>0</v>
      </c>
      <c r="G276" s="40">
        <v>0</v>
      </c>
      <c r="H276" s="40">
        <v>0</v>
      </c>
      <c r="I276" s="40">
        <v>0</v>
      </c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92"/>
      <c r="U276" s="92"/>
      <c r="V276" s="40"/>
      <c r="W276" s="40">
        <f t="shared" si="792"/>
        <v>0</v>
      </c>
      <c r="X276" s="43">
        <f t="shared" si="716"/>
        <v>0</v>
      </c>
      <c r="Y276" s="43">
        <f t="shared" si="716"/>
        <v>0</v>
      </c>
      <c r="Z276" s="43"/>
      <c r="AA276" s="43"/>
      <c r="AB276" s="43">
        <f t="shared" si="742"/>
        <v>0</v>
      </c>
      <c r="AC276" s="43">
        <f t="shared" si="743"/>
        <v>0</v>
      </c>
      <c r="AD276" s="43"/>
      <c r="AE276" s="43"/>
      <c r="AF276" s="43">
        <f t="shared" si="718"/>
        <v>0</v>
      </c>
      <c r="AG276" s="43">
        <f t="shared" si="719"/>
        <v>0</v>
      </c>
      <c r="AH276" s="43">
        <f t="shared" si="719"/>
        <v>0</v>
      </c>
      <c r="AI276" s="93">
        <f t="shared" si="720"/>
        <v>0</v>
      </c>
      <c r="AJ276" s="43">
        <f t="shared" si="720"/>
        <v>0</v>
      </c>
      <c r="AK276" s="43"/>
      <c r="AL276" s="43"/>
      <c r="AM276" s="43">
        <f t="shared" si="721"/>
        <v>0</v>
      </c>
      <c r="AN276" s="43">
        <f t="shared" si="722"/>
        <v>0</v>
      </c>
      <c r="AO276" s="43"/>
      <c r="AP276" s="43"/>
      <c r="AQ276" s="43">
        <f t="shared" si="723"/>
        <v>0</v>
      </c>
      <c r="AR276" s="43">
        <f t="shared" si="723"/>
        <v>0</v>
      </c>
      <c r="AS276" s="43"/>
      <c r="AT276" s="43"/>
      <c r="AU276" s="43">
        <f t="shared" si="623"/>
        <v>0</v>
      </c>
      <c r="AV276" s="43">
        <f t="shared" si="623"/>
        <v>0</v>
      </c>
      <c r="AW276" s="43"/>
      <c r="AX276" s="43"/>
      <c r="AY276" s="43">
        <f t="shared" si="724"/>
        <v>0</v>
      </c>
      <c r="AZ276" s="43">
        <f t="shared" si="724"/>
        <v>0</v>
      </c>
      <c r="BA276" s="43">
        <f t="shared" si="725"/>
        <v>0</v>
      </c>
      <c r="BB276" s="60"/>
      <c r="BC276" s="60"/>
      <c r="BD276" s="60">
        <f t="shared" si="726"/>
        <v>0</v>
      </c>
      <c r="BE276" s="60">
        <f t="shared" si="726"/>
        <v>0</v>
      </c>
      <c r="BF276" s="60">
        <f t="shared" si="727"/>
        <v>0</v>
      </c>
      <c r="BG276" s="60">
        <f t="shared" si="727"/>
        <v>0</v>
      </c>
      <c r="BH276" s="43">
        <v>0</v>
      </c>
      <c r="BI276" s="43">
        <v>0</v>
      </c>
      <c r="BJ276" s="43"/>
      <c r="BK276" s="43"/>
      <c r="BL276" s="43">
        <f t="shared" si="739"/>
        <v>0</v>
      </c>
      <c r="BM276" s="43">
        <f t="shared" si="739"/>
        <v>0</v>
      </c>
      <c r="BN276" s="43">
        <f t="shared" si="751"/>
        <v>0</v>
      </c>
      <c r="BO276" s="43"/>
      <c r="BP276" s="93"/>
      <c r="BQ276" s="43">
        <f t="shared" si="752"/>
        <v>0</v>
      </c>
      <c r="BR276" s="43">
        <f t="shared" si="752"/>
        <v>0</v>
      </c>
      <c r="BS276" s="43">
        <f t="shared" si="753"/>
        <v>0</v>
      </c>
      <c r="BT276" s="43">
        <f t="shared" si="753"/>
        <v>0</v>
      </c>
      <c r="BU276" s="43">
        <f t="shared" si="779"/>
        <v>0</v>
      </c>
      <c r="BV276" s="43">
        <f t="shared" si="793"/>
        <v>0</v>
      </c>
      <c r="BW276" s="43"/>
      <c r="BX276" s="43"/>
      <c r="BY276" s="43"/>
      <c r="BZ276" s="43"/>
      <c r="CA276" s="43">
        <v>0</v>
      </c>
      <c r="CB276" s="43">
        <v>0</v>
      </c>
      <c r="CC276" s="92">
        <v>0</v>
      </c>
      <c r="CD276" s="92">
        <v>0</v>
      </c>
      <c r="CE276" s="92">
        <v>0</v>
      </c>
      <c r="CF276" s="92">
        <v>0</v>
      </c>
      <c r="CG276" s="92">
        <f t="shared" si="754"/>
        <v>0</v>
      </c>
      <c r="CH276" s="92">
        <f t="shared" si="754"/>
        <v>0</v>
      </c>
      <c r="CI276" s="43"/>
      <c r="CJ276" s="43"/>
      <c r="CK276" s="43"/>
      <c r="CL276" s="43"/>
      <c r="CM276" s="43"/>
      <c r="CN276" s="43"/>
      <c r="CO276" s="43"/>
      <c r="CP276" s="43"/>
      <c r="CQ276" s="43">
        <f t="shared" si="755"/>
        <v>0</v>
      </c>
      <c r="CR276" s="43">
        <f t="shared" si="755"/>
        <v>0</v>
      </c>
      <c r="CS276" s="43">
        <f t="shared" si="756"/>
        <v>0</v>
      </c>
      <c r="CT276" s="43">
        <f t="shared" si="756"/>
        <v>0</v>
      </c>
      <c r="CU276" s="43"/>
      <c r="CV276" s="43"/>
      <c r="CW276" s="43">
        <f t="shared" si="757"/>
        <v>0</v>
      </c>
      <c r="CX276" s="43">
        <f t="shared" si="757"/>
        <v>0</v>
      </c>
      <c r="CY276" s="43"/>
      <c r="CZ276" s="43"/>
      <c r="DA276" s="43">
        <f t="shared" si="758"/>
        <v>0</v>
      </c>
      <c r="DB276" s="43">
        <f t="shared" si="758"/>
        <v>0</v>
      </c>
      <c r="DC276" s="43"/>
      <c r="DD276" s="43"/>
      <c r="DE276" s="43">
        <f t="shared" si="759"/>
        <v>0</v>
      </c>
      <c r="DF276" s="43">
        <f t="shared" si="759"/>
        <v>0</v>
      </c>
      <c r="DG276" s="43">
        <f t="shared" si="791"/>
        <v>0</v>
      </c>
      <c r="DH276" s="43">
        <f t="shared" si="791"/>
        <v>0</v>
      </c>
      <c r="DI276" s="43">
        <f t="shared" si="794"/>
        <v>0</v>
      </c>
      <c r="DJ276" s="43">
        <f t="shared" si="794"/>
        <v>0</v>
      </c>
      <c r="DK276" s="43"/>
      <c r="DL276" s="43"/>
      <c r="DM276" s="43">
        <f t="shared" si="760"/>
        <v>0</v>
      </c>
      <c r="DN276" s="43">
        <f t="shared" si="760"/>
        <v>0</v>
      </c>
      <c r="DO276" s="60"/>
      <c r="DP276" s="60"/>
      <c r="DQ276" s="60">
        <f t="shared" si="761"/>
        <v>0</v>
      </c>
      <c r="DR276" s="60">
        <f t="shared" si="761"/>
        <v>0</v>
      </c>
      <c r="DS276" s="60">
        <f t="shared" si="762"/>
        <v>0</v>
      </c>
      <c r="DT276" s="60">
        <f t="shared" si="762"/>
        <v>0</v>
      </c>
      <c r="DU276" s="60">
        <f t="shared" si="763"/>
        <v>0</v>
      </c>
      <c r="DV276" s="60">
        <f t="shared" si="763"/>
        <v>0</v>
      </c>
      <c r="DW276" s="60"/>
      <c r="DX276" s="60"/>
      <c r="DY276" s="60">
        <f t="shared" si="701"/>
        <v>0</v>
      </c>
      <c r="DZ276" s="60">
        <f t="shared" si="701"/>
        <v>0</v>
      </c>
      <c r="EA276" s="60"/>
      <c r="EB276" s="60"/>
      <c r="EC276" s="43">
        <f t="shared" si="764"/>
        <v>0</v>
      </c>
      <c r="ED276" s="43">
        <f t="shared" si="764"/>
        <v>0</v>
      </c>
      <c r="EE276" s="43"/>
      <c r="EF276" s="43"/>
      <c r="EG276" s="43" t="e">
        <f t="shared" si="607"/>
        <v>#DIV/0!</v>
      </c>
      <c r="EH276" s="43" t="e">
        <f t="shared" si="607"/>
        <v>#DIV/0!</v>
      </c>
      <c r="EI276" s="43">
        <f t="shared" si="765"/>
        <v>0</v>
      </c>
      <c r="EJ276" s="43">
        <f t="shared" si="765"/>
        <v>0</v>
      </c>
      <c r="EK276" s="43">
        <f t="shared" si="766"/>
        <v>0</v>
      </c>
      <c r="EL276" s="43">
        <f t="shared" si="766"/>
        <v>0</v>
      </c>
      <c r="EM276" s="43">
        <f t="shared" si="767"/>
        <v>0</v>
      </c>
      <c r="EN276" s="43">
        <f t="shared" si="767"/>
        <v>0</v>
      </c>
      <c r="EO276" s="43"/>
      <c r="EP276" s="43"/>
      <c r="EQ276" s="5"/>
      <c r="ER276" s="5"/>
      <c r="ES276" s="5"/>
      <c r="ET276" s="5"/>
      <c r="EU276" s="5">
        <f t="shared" si="642"/>
        <v>0</v>
      </c>
      <c r="EV276" s="5">
        <f t="shared" si="642"/>
        <v>0</v>
      </c>
    </row>
    <row r="277" spans="1:160" ht="18.75" x14ac:dyDescent="0.25">
      <c r="A277" s="37">
        <v>6</v>
      </c>
      <c r="B277" s="37"/>
      <c r="C277" s="80"/>
      <c r="D277" s="38" t="s">
        <v>558</v>
      </c>
      <c r="E277" s="39"/>
      <c r="F277" s="40">
        <v>0</v>
      </c>
      <c r="G277" s="40">
        <v>0</v>
      </c>
      <c r="H277" s="40">
        <v>0</v>
      </c>
      <c r="I277" s="40">
        <v>0</v>
      </c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92"/>
      <c r="U277" s="92"/>
      <c r="V277" s="40"/>
      <c r="W277" s="40">
        <f t="shared" si="792"/>
        <v>0</v>
      </c>
      <c r="X277" s="43">
        <f t="shared" si="716"/>
        <v>0</v>
      </c>
      <c r="Y277" s="43">
        <f t="shared" si="716"/>
        <v>0</v>
      </c>
      <c r="Z277" s="43"/>
      <c r="AA277" s="43"/>
      <c r="AB277" s="43">
        <f t="shared" si="742"/>
        <v>0</v>
      </c>
      <c r="AC277" s="43">
        <f t="shared" si="743"/>
        <v>0</v>
      </c>
      <c r="AD277" s="43"/>
      <c r="AE277" s="43"/>
      <c r="AF277" s="43">
        <f t="shared" si="718"/>
        <v>0</v>
      </c>
      <c r="AG277" s="43">
        <f t="shared" si="719"/>
        <v>0</v>
      </c>
      <c r="AH277" s="43">
        <f t="shared" si="719"/>
        <v>0</v>
      </c>
      <c r="AI277" s="93">
        <f t="shared" si="720"/>
        <v>0</v>
      </c>
      <c r="AJ277" s="43">
        <f t="shared" si="720"/>
        <v>0</v>
      </c>
      <c r="AK277" s="43"/>
      <c r="AL277" s="43"/>
      <c r="AM277" s="43">
        <f t="shared" si="721"/>
        <v>0</v>
      </c>
      <c r="AN277" s="43">
        <f t="shared" si="722"/>
        <v>0</v>
      </c>
      <c r="AO277" s="43"/>
      <c r="AP277" s="43"/>
      <c r="AQ277" s="43">
        <f t="shared" si="723"/>
        <v>0</v>
      </c>
      <c r="AR277" s="43">
        <f t="shared" si="723"/>
        <v>0</v>
      </c>
      <c r="AS277" s="43"/>
      <c r="AT277" s="43"/>
      <c r="AU277" s="43">
        <f t="shared" si="623"/>
        <v>0</v>
      </c>
      <c r="AV277" s="43">
        <f t="shared" si="623"/>
        <v>0</v>
      </c>
      <c r="AW277" s="43"/>
      <c r="AX277" s="43"/>
      <c r="AY277" s="43">
        <f t="shared" si="724"/>
        <v>0</v>
      </c>
      <c r="AZ277" s="43">
        <f t="shared" si="724"/>
        <v>0</v>
      </c>
      <c r="BA277" s="43">
        <f t="shared" si="725"/>
        <v>0</v>
      </c>
      <c r="BB277" s="60"/>
      <c r="BC277" s="60"/>
      <c r="BD277" s="60">
        <f t="shared" si="726"/>
        <v>0</v>
      </c>
      <c r="BE277" s="60">
        <f t="shared" si="726"/>
        <v>0</v>
      </c>
      <c r="BF277" s="60">
        <f t="shared" si="727"/>
        <v>0</v>
      </c>
      <c r="BG277" s="60">
        <f t="shared" si="727"/>
        <v>0</v>
      </c>
      <c r="BH277" s="43">
        <v>0</v>
      </c>
      <c r="BI277" s="43">
        <v>0</v>
      </c>
      <c r="BJ277" s="43"/>
      <c r="BK277" s="43"/>
      <c r="BL277" s="43">
        <f t="shared" si="739"/>
        <v>0</v>
      </c>
      <c r="BM277" s="43">
        <f t="shared" si="739"/>
        <v>0</v>
      </c>
      <c r="BN277" s="43">
        <f t="shared" si="751"/>
        <v>0</v>
      </c>
      <c r="BO277" s="43"/>
      <c r="BP277" s="93"/>
      <c r="BQ277" s="43">
        <f t="shared" si="752"/>
        <v>0</v>
      </c>
      <c r="BR277" s="43">
        <f t="shared" si="752"/>
        <v>0</v>
      </c>
      <c r="BS277" s="43">
        <f t="shared" si="753"/>
        <v>0</v>
      </c>
      <c r="BT277" s="43">
        <f t="shared" si="753"/>
        <v>0</v>
      </c>
      <c r="BU277" s="43">
        <f t="shared" si="779"/>
        <v>0</v>
      </c>
      <c r="BV277" s="43">
        <f t="shared" si="793"/>
        <v>0</v>
      </c>
      <c r="BW277" s="43"/>
      <c r="BX277" s="43"/>
      <c r="BY277" s="43"/>
      <c r="BZ277" s="43"/>
      <c r="CA277" s="43">
        <v>0</v>
      </c>
      <c r="CB277" s="43">
        <v>0</v>
      </c>
      <c r="CC277" s="92">
        <v>0</v>
      </c>
      <c r="CD277" s="92">
        <v>0</v>
      </c>
      <c r="CE277" s="92">
        <v>0</v>
      </c>
      <c r="CF277" s="92">
        <v>0</v>
      </c>
      <c r="CG277" s="92">
        <f t="shared" si="754"/>
        <v>0</v>
      </c>
      <c r="CH277" s="92">
        <f t="shared" si="754"/>
        <v>0</v>
      </c>
      <c r="CI277" s="43"/>
      <c r="CJ277" s="43"/>
      <c r="CK277" s="43"/>
      <c r="CL277" s="43"/>
      <c r="CM277" s="43"/>
      <c r="CN277" s="43"/>
      <c r="CO277" s="43"/>
      <c r="CP277" s="43"/>
      <c r="CQ277" s="43">
        <f t="shared" si="755"/>
        <v>0</v>
      </c>
      <c r="CR277" s="43">
        <f t="shared" si="755"/>
        <v>0</v>
      </c>
      <c r="CS277" s="43">
        <f t="shared" si="756"/>
        <v>0</v>
      </c>
      <c r="CT277" s="43">
        <f t="shared" si="756"/>
        <v>0</v>
      </c>
      <c r="CU277" s="43"/>
      <c r="CV277" s="43"/>
      <c r="CW277" s="43">
        <f t="shared" si="757"/>
        <v>0</v>
      </c>
      <c r="CX277" s="43">
        <f t="shared" si="757"/>
        <v>0</v>
      </c>
      <c r="CY277" s="43"/>
      <c r="CZ277" s="43"/>
      <c r="DA277" s="43">
        <f t="shared" si="758"/>
        <v>0</v>
      </c>
      <c r="DB277" s="43">
        <f t="shared" si="758"/>
        <v>0</v>
      </c>
      <c r="DC277" s="43"/>
      <c r="DD277" s="43"/>
      <c r="DE277" s="43">
        <f t="shared" si="759"/>
        <v>0</v>
      </c>
      <c r="DF277" s="43">
        <f t="shared" si="759"/>
        <v>0</v>
      </c>
      <c r="DG277" s="43">
        <f t="shared" si="791"/>
        <v>0</v>
      </c>
      <c r="DH277" s="43">
        <f t="shared" si="791"/>
        <v>0</v>
      </c>
      <c r="DI277" s="43">
        <f t="shared" si="794"/>
        <v>0</v>
      </c>
      <c r="DJ277" s="43">
        <f t="shared" si="794"/>
        <v>0</v>
      </c>
      <c r="DK277" s="43"/>
      <c r="DL277" s="43"/>
      <c r="DM277" s="43">
        <f t="shared" si="760"/>
        <v>0</v>
      </c>
      <c r="DN277" s="43">
        <f t="shared" si="760"/>
        <v>0</v>
      </c>
      <c r="DO277" s="60"/>
      <c r="DP277" s="60"/>
      <c r="DQ277" s="60">
        <f t="shared" si="761"/>
        <v>0</v>
      </c>
      <c r="DR277" s="60">
        <f t="shared" si="761"/>
        <v>0</v>
      </c>
      <c r="DS277" s="60">
        <f t="shared" si="762"/>
        <v>0</v>
      </c>
      <c r="DT277" s="60">
        <f t="shared" si="762"/>
        <v>0</v>
      </c>
      <c r="DU277" s="60">
        <f t="shared" si="763"/>
        <v>0</v>
      </c>
      <c r="DV277" s="60">
        <f t="shared" si="763"/>
        <v>0</v>
      </c>
      <c r="DW277" s="60"/>
      <c r="DX277" s="60"/>
      <c r="DY277" s="60">
        <f t="shared" si="701"/>
        <v>0</v>
      </c>
      <c r="DZ277" s="60">
        <f t="shared" si="701"/>
        <v>0</v>
      </c>
      <c r="EA277" s="60"/>
      <c r="EB277" s="60"/>
      <c r="EC277" s="43">
        <f t="shared" si="764"/>
        <v>0</v>
      </c>
      <c r="ED277" s="43">
        <f t="shared" si="764"/>
        <v>0</v>
      </c>
      <c r="EE277" s="43"/>
      <c r="EF277" s="43"/>
      <c r="EG277" s="43" t="e">
        <f t="shared" si="607"/>
        <v>#DIV/0!</v>
      </c>
      <c r="EH277" s="43" t="e">
        <f t="shared" si="607"/>
        <v>#DIV/0!</v>
      </c>
      <c r="EI277" s="43">
        <f t="shared" si="765"/>
        <v>0</v>
      </c>
      <c r="EJ277" s="43">
        <f t="shared" si="765"/>
        <v>0</v>
      </c>
      <c r="EK277" s="43">
        <f t="shared" si="766"/>
        <v>0</v>
      </c>
      <c r="EL277" s="43">
        <f t="shared" si="766"/>
        <v>0</v>
      </c>
      <c r="EM277" s="43">
        <f t="shared" si="767"/>
        <v>0</v>
      </c>
      <c r="EN277" s="43">
        <f t="shared" si="767"/>
        <v>0</v>
      </c>
      <c r="EO277" s="43"/>
      <c r="EP277" s="43"/>
      <c r="EQ277" s="5"/>
      <c r="ER277" s="5"/>
      <c r="ES277" s="5"/>
      <c r="ET277" s="5"/>
      <c r="EU277" s="5">
        <f t="shared" si="642"/>
        <v>0</v>
      </c>
      <c r="EV277" s="5">
        <f t="shared" si="642"/>
        <v>0</v>
      </c>
    </row>
    <row r="278" spans="1:160" ht="18.75" x14ac:dyDescent="0.25">
      <c r="A278" s="37">
        <v>7</v>
      </c>
      <c r="B278" s="37"/>
      <c r="C278" s="80"/>
      <c r="D278" s="38" t="s">
        <v>559</v>
      </c>
      <c r="E278" s="39"/>
      <c r="F278" s="40">
        <v>0</v>
      </c>
      <c r="G278" s="40">
        <v>0</v>
      </c>
      <c r="H278" s="40">
        <v>0</v>
      </c>
      <c r="I278" s="40">
        <v>0</v>
      </c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92"/>
      <c r="U278" s="92"/>
      <c r="V278" s="40"/>
      <c r="W278" s="40">
        <f t="shared" si="792"/>
        <v>0</v>
      </c>
      <c r="X278" s="43">
        <f t="shared" si="716"/>
        <v>0</v>
      </c>
      <c r="Y278" s="43">
        <f t="shared" si="716"/>
        <v>0</v>
      </c>
      <c r="Z278" s="43"/>
      <c r="AA278" s="43"/>
      <c r="AB278" s="43">
        <f t="shared" si="742"/>
        <v>0</v>
      </c>
      <c r="AC278" s="43">
        <f t="shared" si="743"/>
        <v>0</v>
      </c>
      <c r="AD278" s="43"/>
      <c r="AE278" s="43"/>
      <c r="AF278" s="43">
        <f t="shared" si="718"/>
        <v>0</v>
      </c>
      <c r="AG278" s="43">
        <f t="shared" si="719"/>
        <v>0</v>
      </c>
      <c r="AH278" s="43">
        <f t="shared" si="719"/>
        <v>0</v>
      </c>
      <c r="AI278" s="93">
        <f t="shared" si="720"/>
        <v>0</v>
      </c>
      <c r="AJ278" s="43">
        <f t="shared" si="720"/>
        <v>0</v>
      </c>
      <c r="AK278" s="43"/>
      <c r="AL278" s="43"/>
      <c r="AM278" s="43">
        <f t="shared" si="721"/>
        <v>0</v>
      </c>
      <c r="AN278" s="43">
        <f t="shared" si="722"/>
        <v>0</v>
      </c>
      <c r="AO278" s="43"/>
      <c r="AP278" s="43"/>
      <c r="AQ278" s="43">
        <f t="shared" si="723"/>
        <v>0</v>
      </c>
      <c r="AR278" s="43">
        <f t="shared" si="723"/>
        <v>0</v>
      </c>
      <c r="AS278" s="43"/>
      <c r="AT278" s="43"/>
      <c r="AU278" s="43">
        <f t="shared" si="623"/>
        <v>0</v>
      </c>
      <c r="AV278" s="43">
        <f t="shared" si="623"/>
        <v>0</v>
      </c>
      <c r="AW278" s="43"/>
      <c r="AX278" s="43"/>
      <c r="AY278" s="43">
        <f t="shared" si="724"/>
        <v>0</v>
      </c>
      <c r="AZ278" s="43">
        <f t="shared" si="724"/>
        <v>0</v>
      </c>
      <c r="BA278" s="43">
        <f t="shared" si="725"/>
        <v>0</v>
      </c>
      <c r="BB278" s="60"/>
      <c r="BC278" s="60"/>
      <c r="BD278" s="60">
        <f t="shared" si="726"/>
        <v>0</v>
      </c>
      <c r="BE278" s="60">
        <f t="shared" si="726"/>
        <v>0</v>
      </c>
      <c r="BF278" s="60">
        <f t="shared" si="727"/>
        <v>0</v>
      </c>
      <c r="BG278" s="60">
        <f t="shared" si="727"/>
        <v>0</v>
      </c>
      <c r="BH278" s="43">
        <v>0</v>
      </c>
      <c r="BI278" s="43">
        <v>0</v>
      </c>
      <c r="BJ278" s="43"/>
      <c r="BK278" s="43"/>
      <c r="BL278" s="43">
        <f t="shared" si="739"/>
        <v>0</v>
      </c>
      <c r="BM278" s="43">
        <f t="shared" si="739"/>
        <v>0</v>
      </c>
      <c r="BN278" s="43">
        <f t="shared" si="751"/>
        <v>0</v>
      </c>
      <c r="BO278" s="43"/>
      <c r="BP278" s="93"/>
      <c r="BQ278" s="43">
        <f t="shared" si="752"/>
        <v>0</v>
      </c>
      <c r="BR278" s="43">
        <f t="shared" si="752"/>
        <v>0</v>
      </c>
      <c r="BS278" s="43">
        <f t="shared" si="753"/>
        <v>0</v>
      </c>
      <c r="BT278" s="43">
        <f t="shared" si="753"/>
        <v>0</v>
      </c>
      <c r="BU278" s="43">
        <f t="shared" si="779"/>
        <v>0</v>
      </c>
      <c r="BV278" s="43">
        <f t="shared" si="793"/>
        <v>0</v>
      </c>
      <c r="BW278" s="43"/>
      <c r="BX278" s="43"/>
      <c r="BY278" s="43"/>
      <c r="BZ278" s="43"/>
      <c r="CA278" s="43">
        <v>0</v>
      </c>
      <c r="CB278" s="43">
        <v>0</v>
      </c>
      <c r="CC278" s="92">
        <v>0</v>
      </c>
      <c r="CD278" s="92">
        <v>0</v>
      </c>
      <c r="CE278" s="92">
        <v>0</v>
      </c>
      <c r="CF278" s="92">
        <v>0</v>
      </c>
      <c r="CG278" s="92">
        <f t="shared" si="754"/>
        <v>0</v>
      </c>
      <c r="CH278" s="92">
        <f t="shared" si="754"/>
        <v>0</v>
      </c>
      <c r="CI278" s="43"/>
      <c r="CJ278" s="43"/>
      <c r="CK278" s="43"/>
      <c r="CL278" s="43"/>
      <c r="CM278" s="43"/>
      <c r="CN278" s="43"/>
      <c r="CO278" s="43"/>
      <c r="CP278" s="43"/>
      <c r="CQ278" s="43">
        <f t="shared" si="755"/>
        <v>0</v>
      </c>
      <c r="CR278" s="43">
        <f t="shared" si="755"/>
        <v>0</v>
      </c>
      <c r="CS278" s="43">
        <f t="shared" si="756"/>
        <v>0</v>
      </c>
      <c r="CT278" s="43">
        <f t="shared" si="756"/>
        <v>0</v>
      </c>
      <c r="CU278" s="43"/>
      <c r="CV278" s="43"/>
      <c r="CW278" s="43">
        <f t="shared" si="757"/>
        <v>0</v>
      </c>
      <c r="CX278" s="43">
        <f t="shared" si="757"/>
        <v>0</v>
      </c>
      <c r="CY278" s="43"/>
      <c r="CZ278" s="43"/>
      <c r="DA278" s="43">
        <f t="shared" si="758"/>
        <v>0</v>
      </c>
      <c r="DB278" s="43">
        <f t="shared" si="758"/>
        <v>0</v>
      </c>
      <c r="DC278" s="43"/>
      <c r="DD278" s="43"/>
      <c r="DE278" s="43">
        <f t="shared" si="759"/>
        <v>0</v>
      </c>
      <c r="DF278" s="43">
        <f t="shared" si="759"/>
        <v>0</v>
      </c>
      <c r="DG278" s="43">
        <f t="shared" si="791"/>
        <v>0</v>
      </c>
      <c r="DH278" s="43">
        <f t="shared" si="791"/>
        <v>0</v>
      </c>
      <c r="DI278" s="43">
        <f t="shared" si="794"/>
        <v>0</v>
      </c>
      <c r="DJ278" s="43">
        <f t="shared" si="794"/>
        <v>0</v>
      </c>
      <c r="DK278" s="43"/>
      <c r="DL278" s="43"/>
      <c r="DM278" s="43">
        <f t="shared" si="760"/>
        <v>0</v>
      </c>
      <c r="DN278" s="43">
        <f t="shared" si="760"/>
        <v>0</v>
      </c>
      <c r="DO278" s="60"/>
      <c r="DP278" s="60"/>
      <c r="DQ278" s="60">
        <f t="shared" si="761"/>
        <v>0</v>
      </c>
      <c r="DR278" s="60">
        <f t="shared" si="761"/>
        <v>0</v>
      </c>
      <c r="DS278" s="60">
        <f t="shared" si="762"/>
        <v>0</v>
      </c>
      <c r="DT278" s="60">
        <f t="shared" si="762"/>
        <v>0</v>
      </c>
      <c r="DU278" s="60">
        <f t="shared" si="763"/>
        <v>0</v>
      </c>
      <c r="DV278" s="60">
        <f t="shared" si="763"/>
        <v>0</v>
      </c>
      <c r="DW278" s="60"/>
      <c r="DX278" s="60"/>
      <c r="DY278" s="60">
        <f t="shared" si="701"/>
        <v>0</v>
      </c>
      <c r="DZ278" s="60">
        <f t="shared" si="701"/>
        <v>0</v>
      </c>
      <c r="EA278" s="60"/>
      <c r="EB278" s="60"/>
      <c r="EC278" s="43">
        <f t="shared" si="764"/>
        <v>0</v>
      </c>
      <c r="ED278" s="43">
        <f t="shared" si="764"/>
        <v>0</v>
      </c>
      <c r="EE278" s="43"/>
      <c r="EF278" s="43"/>
      <c r="EG278" s="43" t="e">
        <f t="shared" ref="EG278:EH309" si="795">ROUND(EE278/EC278*100,2)</f>
        <v>#DIV/0!</v>
      </c>
      <c r="EH278" s="43" t="e">
        <f t="shared" si="795"/>
        <v>#DIV/0!</v>
      </c>
      <c r="EI278" s="43">
        <f t="shared" si="765"/>
        <v>0</v>
      </c>
      <c r="EJ278" s="43">
        <f t="shared" si="765"/>
        <v>0</v>
      </c>
      <c r="EK278" s="43">
        <f t="shared" si="766"/>
        <v>0</v>
      </c>
      <c r="EL278" s="43">
        <f t="shared" si="766"/>
        <v>0</v>
      </c>
      <c r="EM278" s="43">
        <f t="shared" si="767"/>
        <v>0</v>
      </c>
      <c r="EN278" s="43">
        <f t="shared" si="767"/>
        <v>0</v>
      </c>
      <c r="EO278" s="43"/>
      <c r="EP278" s="43"/>
      <c r="EQ278" s="5"/>
      <c r="ER278" s="5"/>
      <c r="ES278" s="5"/>
      <c r="ET278" s="5"/>
      <c r="EU278" s="5">
        <f t="shared" si="642"/>
        <v>0</v>
      </c>
      <c r="EV278" s="5">
        <f t="shared" si="642"/>
        <v>0</v>
      </c>
    </row>
    <row r="279" spans="1:160" ht="18.75" x14ac:dyDescent="0.25">
      <c r="A279" s="37">
        <v>8</v>
      </c>
      <c r="B279" s="37"/>
      <c r="C279" s="80"/>
      <c r="D279" s="38" t="s">
        <v>560</v>
      </c>
      <c r="E279" s="39"/>
      <c r="F279" s="40">
        <v>0</v>
      </c>
      <c r="G279" s="40">
        <v>0</v>
      </c>
      <c r="H279" s="40">
        <v>0</v>
      </c>
      <c r="I279" s="40">
        <v>0</v>
      </c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92"/>
      <c r="U279" s="92"/>
      <c r="V279" s="40"/>
      <c r="W279" s="40">
        <f t="shared" si="792"/>
        <v>0</v>
      </c>
      <c r="X279" s="43">
        <f t="shared" si="716"/>
        <v>0</v>
      </c>
      <c r="Y279" s="43">
        <f t="shared" si="716"/>
        <v>0</v>
      </c>
      <c r="Z279" s="43"/>
      <c r="AA279" s="43"/>
      <c r="AB279" s="43">
        <f t="shared" si="742"/>
        <v>0</v>
      </c>
      <c r="AC279" s="43">
        <f t="shared" si="743"/>
        <v>0</v>
      </c>
      <c r="AD279" s="43"/>
      <c r="AE279" s="43"/>
      <c r="AF279" s="43">
        <f t="shared" si="718"/>
        <v>0</v>
      </c>
      <c r="AG279" s="43">
        <f t="shared" si="719"/>
        <v>0</v>
      </c>
      <c r="AH279" s="43">
        <f t="shared" si="719"/>
        <v>0</v>
      </c>
      <c r="AI279" s="93">
        <f t="shared" si="720"/>
        <v>0</v>
      </c>
      <c r="AJ279" s="43">
        <f t="shared" si="720"/>
        <v>0</v>
      </c>
      <c r="AK279" s="43"/>
      <c r="AL279" s="43"/>
      <c r="AM279" s="43">
        <f t="shared" si="721"/>
        <v>0</v>
      </c>
      <c r="AN279" s="43">
        <f t="shared" si="722"/>
        <v>0</v>
      </c>
      <c r="AO279" s="43"/>
      <c r="AP279" s="43"/>
      <c r="AQ279" s="43">
        <f t="shared" si="723"/>
        <v>0</v>
      </c>
      <c r="AR279" s="43">
        <f t="shared" si="723"/>
        <v>0</v>
      </c>
      <c r="AS279" s="43"/>
      <c r="AT279" s="43"/>
      <c r="AU279" s="43">
        <f t="shared" si="623"/>
        <v>0</v>
      </c>
      <c r="AV279" s="43">
        <f t="shared" si="623"/>
        <v>0</v>
      </c>
      <c r="AW279" s="43"/>
      <c r="AX279" s="43"/>
      <c r="AY279" s="43">
        <f t="shared" si="724"/>
        <v>0</v>
      </c>
      <c r="AZ279" s="43">
        <f t="shared" si="724"/>
        <v>0</v>
      </c>
      <c r="BA279" s="43">
        <f t="shared" si="725"/>
        <v>0</v>
      </c>
      <c r="BB279" s="60"/>
      <c r="BC279" s="60"/>
      <c r="BD279" s="60">
        <f t="shared" si="726"/>
        <v>0</v>
      </c>
      <c r="BE279" s="60">
        <f t="shared" si="726"/>
        <v>0</v>
      </c>
      <c r="BF279" s="60">
        <f t="shared" si="727"/>
        <v>0</v>
      </c>
      <c r="BG279" s="60">
        <f t="shared" si="727"/>
        <v>0</v>
      </c>
      <c r="BH279" s="43">
        <v>0</v>
      </c>
      <c r="BI279" s="43">
        <v>0</v>
      </c>
      <c r="BJ279" s="43"/>
      <c r="BK279" s="43"/>
      <c r="BL279" s="43">
        <f t="shared" si="739"/>
        <v>0</v>
      </c>
      <c r="BM279" s="43">
        <f t="shared" si="739"/>
        <v>0</v>
      </c>
      <c r="BN279" s="43">
        <f t="shared" si="751"/>
        <v>0</v>
      </c>
      <c r="BO279" s="43"/>
      <c r="BP279" s="93"/>
      <c r="BQ279" s="43">
        <f t="shared" si="752"/>
        <v>0</v>
      </c>
      <c r="BR279" s="43">
        <f t="shared" si="752"/>
        <v>0</v>
      </c>
      <c r="BS279" s="43">
        <f t="shared" si="753"/>
        <v>0</v>
      </c>
      <c r="BT279" s="43">
        <f t="shared" si="753"/>
        <v>0</v>
      </c>
      <c r="BU279" s="43">
        <f t="shared" si="779"/>
        <v>0</v>
      </c>
      <c r="BV279" s="43">
        <f t="shared" si="793"/>
        <v>0</v>
      </c>
      <c r="BW279" s="43"/>
      <c r="BX279" s="43"/>
      <c r="BY279" s="43"/>
      <c r="BZ279" s="43"/>
      <c r="CA279" s="43">
        <v>0</v>
      </c>
      <c r="CB279" s="43">
        <v>0</v>
      </c>
      <c r="CC279" s="92">
        <v>0</v>
      </c>
      <c r="CD279" s="92">
        <v>0</v>
      </c>
      <c r="CE279" s="92">
        <v>0</v>
      </c>
      <c r="CF279" s="92">
        <v>0</v>
      </c>
      <c r="CG279" s="92">
        <f t="shared" si="754"/>
        <v>0</v>
      </c>
      <c r="CH279" s="92">
        <f t="shared" si="754"/>
        <v>0</v>
      </c>
      <c r="CI279" s="43"/>
      <c r="CJ279" s="43"/>
      <c r="CK279" s="43"/>
      <c r="CL279" s="43"/>
      <c r="CM279" s="43"/>
      <c r="CN279" s="43"/>
      <c r="CO279" s="43"/>
      <c r="CP279" s="43"/>
      <c r="CQ279" s="43">
        <f t="shared" si="755"/>
        <v>0</v>
      </c>
      <c r="CR279" s="43">
        <f t="shared" si="755"/>
        <v>0</v>
      </c>
      <c r="CS279" s="43">
        <f t="shared" si="756"/>
        <v>0</v>
      </c>
      <c r="CT279" s="43">
        <f t="shared" si="756"/>
        <v>0</v>
      </c>
      <c r="CU279" s="43"/>
      <c r="CV279" s="43"/>
      <c r="CW279" s="43">
        <f t="shared" si="757"/>
        <v>0</v>
      </c>
      <c r="CX279" s="43">
        <f t="shared" si="757"/>
        <v>0</v>
      </c>
      <c r="CY279" s="43"/>
      <c r="CZ279" s="43"/>
      <c r="DA279" s="43">
        <f t="shared" si="758"/>
        <v>0</v>
      </c>
      <c r="DB279" s="43">
        <f t="shared" si="758"/>
        <v>0</v>
      </c>
      <c r="DC279" s="43"/>
      <c r="DD279" s="43"/>
      <c r="DE279" s="43">
        <f t="shared" si="759"/>
        <v>0</v>
      </c>
      <c r="DF279" s="43">
        <f t="shared" si="759"/>
        <v>0</v>
      </c>
      <c r="DG279" s="43">
        <f t="shared" si="791"/>
        <v>0</v>
      </c>
      <c r="DH279" s="43">
        <f t="shared" si="791"/>
        <v>0</v>
      </c>
      <c r="DI279" s="43">
        <f t="shared" si="794"/>
        <v>0</v>
      </c>
      <c r="DJ279" s="43">
        <f t="shared" si="794"/>
        <v>0</v>
      </c>
      <c r="DK279" s="43"/>
      <c r="DL279" s="43"/>
      <c r="DM279" s="43">
        <f t="shared" si="760"/>
        <v>0</v>
      </c>
      <c r="DN279" s="43">
        <f t="shared" si="760"/>
        <v>0</v>
      </c>
      <c r="DO279" s="60"/>
      <c r="DP279" s="60"/>
      <c r="DQ279" s="60">
        <f t="shared" si="761"/>
        <v>0</v>
      </c>
      <c r="DR279" s="60">
        <f t="shared" si="761"/>
        <v>0</v>
      </c>
      <c r="DS279" s="60">
        <f t="shared" si="762"/>
        <v>0</v>
      </c>
      <c r="DT279" s="60">
        <f t="shared" si="762"/>
        <v>0</v>
      </c>
      <c r="DU279" s="60">
        <f t="shared" si="763"/>
        <v>0</v>
      </c>
      <c r="DV279" s="60">
        <f t="shared" si="763"/>
        <v>0</v>
      </c>
      <c r="DW279" s="60"/>
      <c r="DX279" s="60"/>
      <c r="DY279" s="60">
        <f t="shared" si="701"/>
        <v>0</v>
      </c>
      <c r="DZ279" s="60">
        <f t="shared" si="701"/>
        <v>0</v>
      </c>
      <c r="EA279" s="60"/>
      <c r="EB279" s="60"/>
      <c r="EC279" s="43">
        <f t="shared" si="764"/>
        <v>0</v>
      </c>
      <c r="ED279" s="43">
        <f t="shared" si="764"/>
        <v>0</v>
      </c>
      <c r="EE279" s="43"/>
      <c r="EF279" s="43"/>
      <c r="EG279" s="43" t="e">
        <f t="shared" si="795"/>
        <v>#DIV/0!</v>
      </c>
      <c r="EH279" s="43" t="e">
        <f t="shared" si="795"/>
        <v>#DIV/0!</v>
      </c>
      <c r="EI279" s="43">
        <f t="shared" si="765"/>
        <v>0</v>
      </c>
      <c r="EJ279" s="43">
        <f t="shared" si="765"/>
        <v>0</v>
      </c>
      <c r="EK279" s="43">
        <f t="shared" si="766"/>
        <v>0</v>
      </c>
      <c r="EL279" s="43">
        <f t="shared" si="766"/>
        <v>0</v>
      </c>
      <c r="EM279" s="43">
        <f t="shared" si="767"/>
        <v>0</v>
      </c>
      <c r="EN279" s="43">
        <f t="shared" si="767"/>
        <v>0</v>
      </c>
      <c r="EO279" s="43"/>
      <c r="EP279" s="43"/>
      <c r="EQ279" s="5"/>
      <c r="ER279" s="5"/>
      <c r="ES279" s="5"/>
      <c r="ET279" s="5"/>
      <c r="EU279" s="5">
        <f t="shared" si="642"/>
        <v>0</v>
      </c>
      <c r="EV279" s="5">
        <f t="shared" si="642"/>
        <v>0</v>
      </c>
    </row>
    <row r="280" spans="1:160" ht="18.75" x14ac:dyDescent="0.25">
      <c r="A280" s="37">
        <v>9</v>
      </c>
      <c r="B280" s="37"/>
      <c r="C280" s="80"/>
      <c r="D280" s="38" t="s">
        <v>561</v>
      </c>
      <c r="E280" s="39"/>
      <c r="F280" s="40">
        <v>0</v>
      </c>
      <c r="G280" s="40">
        <v>0</v>
      </c>
      <c r="H280" s="40">
        <v>0</v>
      </c>
      <c r="I280" s="40">
        <v>0</v>
      </c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92"/>
      <c r="U280" s="92"/>
      <c r="V280" s="40"/>
      <c r="W280" s="40">
        <f t="shared" si="792"/>
        <v>0</v>
      </c>
      <c r="X280" s="43">
        <f t="shared" si="716"/>
        <v>0</v>
      </c>
      <c r="Y280" s="43">
        <f t="shared" si="716"/>
        <v>0</v>
      </c>
      <c r="Z280" s="43"/>
      <c r="AA280" s="43"/>
      <c r="AB280" s="43">
        <f t="shared" si="742"/>
        <v>0</v>
      </c>
      <c r="AC280" s="43">
        <f t="shared" si="743"/>
        <v>0</v>
      </c>
      <c r="AD280" s="43"/>
      <c r="AE280" s="43"/>
      <c r="AF280" s="43">
        <f t="shared" si="718"/>
        <v>0</v>
      </c>
      <c r="AG280" s="43">
        <f t="shared" si="719"/>
        <v>0</v>
      </c>
      <c r="AH280" s="43">
        <f t="shared" si="719"/>
        <v>0</v>
      </c>
      <c r="AI280" s="93">
        <f t="shared" si="720"/>
        <v>0</v>
      </c>
      <c r="AJ280" s="43">
        <f t="shared" si="720"/>
        <v>0</v>
      </c>
      <c r="AK280" s="43"/>
      <c r="AL280" s="43"/>
      <c r="AM280" s="43">
        <f t="shared" si="721"/>
        <v>0</v>
      </c>
      <c r="AN280" s="43">
        <f t="shared" si="722"/>
        <v>0</v>
      </c>
      <c r="AO280" s="43"/>
      <c r="AP280" s="43"/>
      <c r="AQ280" s="43">
        <f t="shared" si="723"/>
        <v>0</v>
      </c>
      <c r="AR280" s="43">
        <f t="shared" si="723"/>
        <v>0</v>
      </c>
      <c r="AS280" s="43"/>
      <c r="AT280" s="43"/>
      <c r="AU280" s="43">
        <f t="shared" si="623"/>
        <v>0</v>
      </c>
      <c r="AV280" s="43">
        <f t="shared" si="623"/>
        <v>0</v>
      </c>
      <c r="AW280" s="43"/>
      <c r="AX280" s="43"/>
      <c r="AY280" s="43">
        <f t="shared" si="724"/>
        <v>0</v>
      </c>
      <c r="AZ280" s="43">
        <f t="shared" si="724"/>
        <v>0</v>
      </c>
      <c r="BA280" s="43">
        <f t="shared" si="725"/>
        <v>0</v>
      </c>
      <c r="BB280" s="60"/>
      <c r="BC280" s="60"/>
      <c r="BD280" s="60">
        <f t="shared" si="726"/>
        <v>0</v>
      </c>
      <c r="BE280" s="60">
        <f t="shared" si="726"/>
        <v>0</v>
      </c>
      <c r="BF280" s="60">
        <f t="shared" si="727"/>
        <v>0</v>
      </c>
      <c r="BG280" s="60">
        <f t="shared" si="727"/>
        <v>0</v>
      </c>
      <c r="BH280" s="43">
        <v>0</v>
      </c>
      <c r="BI280" s="43">
        <v>0</v>
      </c>
      <c r="BJ280" s="43"/>
      <c r="BK280" s="43"/>
      <c r="BL280" s="43">
        <f t="shared" si="739"/>
        <v>0</v>
      </c>
      <c r="BM280" s="43">
        <f t="shared" si="739"/>
        <v>0</v>
      </c>
      <c r="BN280" s="43">
        <f t="shared" si="751"/>
        <v>0</v>
      </c>
      <c r="BO280" s="43"/>
      <c r="BP280" s="93"/>
      <c r="BQ280" s="43">
        <f t="shared" si="752"/>
        <v>0</v>
      </c>
      <c r="BR280" s="43">
        <f t="shared" si="752"/>
        <v>0</v>
      </c>
      <c r="BS280" s="43">
        <f t="shared" si="753"/>
        <v>0</v>
      </c>
      <c r="BT280" s="43">
        <f t="shared" si="753"/>
        <v>0</v>
      </c>
      <c r="BU280" s="43">
        <f t="shared" si="779"/>
        <v>0</v>
      </c>
      <c r="BV280" s="43">
        <f t="shared" si="793"/>
        <v>0</v>
      </c>
      <c r="BW280" s="43"/>
      <c r="BX280" s="43"/>
      <c r="BY280" s="43"/>
      <c r="BZ280" s="43"/>
      <c r="CA280" s="43">
        <v>0</v>
      </c>
      <c r="CB280" s="43">
        <v>0</v>
      </c>
      <c r="CC280" s="92">
        <v>0</v>
      </c>
      <c r="CD280" s="92">
        <v>0</v>
      </c>
      <c r="CE280" s="92">
        <v>0</v>
      </c>
      <c r="CF280" s="92">
        <v>0</v>
      </c>
      <c r="CG280" s="92">
        <f t="shared" si="754"/>
        <v>0</v>
      </c>
      <c r="CH280" s="92">
        <f t="shared" si="754"/>
        <v>0</v>
      </c>
      <c r="CI280" s="43"/>
      <c r="CJ280" s="43"/>
      <c r="CK280" s="43"/>
      <c r="CL280" s="43"/>
      <c r="CM280" s="43"/>
      <c r="CN280" s="43"/>
      <c r="CO280" s="43"/>
      <c r="CP280" s="43"/>
      <c r="CQ280" s="43">
        <f t="shared" si="755"/>
        <v>0</v>
      </c>
      <c r="CR280" s="43">
        <f t="shared" si="755"/>
        <v>0</v>
      </c>
      <c r="CS280" s="43">
        <f t="shared" si="756"/>
        <v>0</v>
      </c>
      <c r="CT280" s="43">
        <f t="shared" si="756"/>
        <v>0</v>
      </c>
      <c r="CU280" s="43"/>
      <c r="CV280" s="43"/>
      <c r="CW280" s="43">
        <f t="shared" si="757"/>
        <v>0</v>
      </c>
      <c r="CX280" s="43">
        <f t="shared" si="757"/>
        <v>0</v>
      </c>
      <c r="CY280" s="43"/>
      <c r="CZ280" s="43"/>
      <c r="DA280" s="43">
        <f t="shared" si="758"/>
        <v>0</v>
      </c>
      <c r="DB280" s="43">
        <f t="shared" si="758"/>
        <v>0</v>
      </c>
      <c r="DC280" s="43"/>
      <c r="DD280" s="43"/>
      <c r="DE280" s="43">
        <f t="shared" si="759"/>
        <v>0</v>
      </c>
      <c r="DF280" s="43">
        <f t="shared" si="759"/>
        <v>0</v>
      </c>
      <c r="DG280" s="43">
        <f t="shared" si="791"/>
        <v>0</v>
      </c>
      <c r="DH280" s="43">
        <f t="shared" si="791"/>
        <v>0</v>
      </c>
      <c r="DI280" s="43">
        <f t="shared" si="794"/>
        <v>0</v>
      </c>
      <c r="DJ280" s="43">
        <f t="shared" si="794"/>
        <v>0</v>
      </c>
      <c r="DK280" s="43"/>
      <c r="DL280" s="43"/>
      <c r="DM280" s="43">
        <f t="shared" si="760"/>
        <v>0</v>
      </c>
      <c r="DN280" s="43">
        <f t="shared" si="760"/>
        <v>0</v>
      </c>
      <c r="DO280" s="60"/>
      <c r="DP280" s="60"/>
      <c r="DQ280" s="60">
        <f t="shared" si="761"/>
        <v>0</v>
      </c>
      <c r="DR280" s="60">
        <f t="shared" si="761"/>
        <v>0</v>
      </c>
      <c r="DS280" s="60">
        <f t="shared" si="762"/>
        <v>0</v>
      </c>
      <c r="DT280" s="60">
        <f t="shared" si="762"/>
        <v>0</v>
      </c>
      <c r="DU280" s="60">
        <f t="shared" si="763"/>
        <v>0</v>
      </c>
      <c r="DV280" s="60">
        <f t="shared" si="763"/>
        <v>0</v>
      </c>
      <c r="DW280" s="60"/>
      <c r="DX280" s="60"/>
      <c r="DY280" s="60">
        <f t="shared" si="701"/>
        <v>0</v>
      </c>
      <c r="DZ280" s="60">
        <f t="shared" si="701"/>
        <v>0</v>
      </c>
      <c r="EA280" s="60"/>
      <c r="EB280" s="60"/>
      <c r="EC280" s="43">
        <f t="shared" si="764"/>
        <v>0</v>
      </c>
      <c r="ED280" s="43">
        <f t="shared" si="764"/>
        <v>0</v>
      </c>
      <c r="EE280" s="43"/>
      <c r="EF280" s="43"/>
      <c r="EG280" s="43" t="e">
        <f t="shared" si="795"/>
        <v>#DIV/0!</v>
      </c>
      <c r="EH280" s="43" t="e">
        <f t="shared" si="795"/>
        <v>#DIV/0!</v>
      </c>
      <c r="EI280" s="43">
        <f t="shared" si="765"/>
        <v>0</v>
      </c>
      <c r="EJ280" s="43">
        <f t="shared" si="765"/>
        <v>0</v>
      </c>
      <c r="EK280" s="43">
        <f t="shared" si="766"/>
        <v>0</v>
      </c>
      <c r="EL280" s="43">
        <f t="shared" si="766"/>
        <v>0</v>
      </c>
      <c r="EM280" s="43">
        <f t="shared" si="767"/>
        <v>0</v>
      </c>
      <c r="EN280" s="43">
        <f t="shared" si="767"/>
        <v>0</v>
      </c>
      <c r="EO280" s="43"/>
      <c r="EP280" s="43"/>
      <c r="EQ280" s="5"/>
      <c r="ER280" s="5"/>
      <c r="ES280" s="5"/>
      <c r="ET280" s="5"/>
      <c r="EU280" s="5">
        <f t="shared" si="642"/>
        <v>0</v>
      </c>
      <c r="EV280" s="5">
        <f t="shared" si="642"/>
        <v>0</v>
      </c>
    </row>
    <row r="281" spans="1:160" ht="37.5" x14ac:dyDescent="0.25">
      <c r="A281" s="37">
        <v>10</v>
      </c>
      <c r="B281" s="37"/>
      <c r="C281" s="80"/>
      <c r="D281" s="38" t="s">
        <v>562</v>
      </c>
      <c r="E281" s="39"/>
      <c r="F281" s="40">
        <v>0</v>
      </c>
      <c r="G281" s="40">
        <v>0</v>
      </c>
      <c r="H281" s="40">
        <v>0</v>
      </c>
      <c r="I281" s="40">
        <v>0</v>
      </c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92"/>
      <c r="U281" s="92"/>
      <c r="V281" s="40"/>
      <c r="W281" s="40">
        <f t="shared" si="792"/>
        <v>0</v>
      </c>
      <c r="X281" s="43">
        <f t="shared" si="716"/>
        <v>0</v>
      </c>
      <c r="Y281" s="43">
        <f t="shared" si="716"/>
        <v>0</v>
      </c>
      <c r="Z281" s="43"/>
      <c r="AA281" s="43"/>
      <c r="AB281" s="43">
        <f t="shared" si="742"/>
        <v>0</v>
      </c>
      <c r="AC281" s="43">
        <f t="shared" si="743"/>
        <v>0</v>
      </c>
      <c r="AD281" s="43"/>
      <c r="AE281" s="43"/>
      <c r="AF281" s="43">
        <f t="shared" si="718"/>
        <v>0</v>
      </c>
      <c r="AG281" s="43">
        <f t="shared" si="719"/>
        <v>0</v>
      </c>
      <c r="AH281" s="43">
        <f t="shared" si="719"/>
        <v>0</v>
      </c>
      <c r="AI281" s="93">
        <f t="shared" si="720"/>
        <v>0</v>
      </c>
      <c r="AJ281" s="43">
        <f t="shared" si="720"/>
        <v>0</v>
      </c>
      <c r="AK281" s="43"/>
      <c r="AL281" s="43"/>
      <c r="AM281" s="43">
        <f t="shared" si="721"/>
        <v>0</v>
      </c>
      <c r="AN281" s="43">
        <f t="shared" si="722"/>
        <v>0</v>
      </c>
      <c r="AO281" s="43"/>
      <c r="AP281" s="43"/>
      <c r="AQ281" s="43">
        <f t="shared" si="723"/>
        <v>0</v>
      </c>
      <c r="AR281" s="43">
        <f t="shared" si="723"/>
        <v>0</v>
      </c>
      <c r="AS281" s="43"/>
      <c r="AT281" s="43"/>
      <c r="AU281" s="43">
        <f t="shared" si="623"/>
        <v>0</v>
      </c>
      <c r="AV281" s="43">
        <f t="shared" si="623"/>
        <v>0</v>
      </c>
      <c r="AW281" s="43"/>
      <c r="AX281" s="43"/>
      <c r="AY281" s="43">
        <f t="shared" si="724"/>
        <v>0</v>
      </c>
      <c r="AZ281" s="43">
        <f t="shared" si="724"/>
        <v>0</v>
      </c>
      <c r="BA281" s="43">
        <f t="shared" si="725"/>
        <v>0</v>
      </c>
      <c r="BB281" s="60"/>
      <c r="BC281" s="60"/>
      <c r="BD281" s="60">
        <f t="shared" si="726"/>
        <v>0</v>
      </c>
      <c r="BE281" s="60">
        <f t="shared" si="726"/>
        <v>0</v>
      </c>
      <c r="BF281" s="60">
        <f t="shared" si="727"/>
        <v>0</v>
      </c>
      <c r="BG281" s="60">
        <f t="shared" si="727"/>
        <v>0</v>
      </c>
      <c r="BH281" s="43">
        <v>0</v>
      </c>
      <c r="BI281" s="43">
        <v>0</v>
      </c>
      <c r="BJ281" s="43"/>
      <c r="BK281" s="43"/>
      <c r="BL281" s="43">
        <f t="shared" si="739"/>
        <v>0</v>
      </c>
      <c r="BM281" s="43">
        <f t="shared" si="739"/>
        <v>0</v>
      </c>
      <c r="BN281" s="43">
        <f t="shared" si="751"/>
        <v>0</v>
      </c>
      <c r="BO281" s="43"/>
      <c r="BP281" s="93"/>
      <c r="BQ281" s="43">
        <f t="shared" si="752"/>
        <v>0</v>
      </c>
      <c r="BR281" s="43">
        <f t="shared" si="752"/>
        <v>0</v>
      </c>
      <c r="BS281" s="43">
        <f t="shared" si="753"/>
        <v>0</v>
      </c>
      <c r="BT281" s="43">
        <f t="shared" si="753"/>
        <v>0</v>
      </c>
      <c r="BU281" s="43">
        <f t="shared" si="779"/>
        <v>0</v>
      </c>
      <c r="BV281" s="43">
        <f t="shared" si="793"/>
        <v>0</v>
      </c>
      <c r="BW281" s="43"/>
      <c r="BX281" s="43"/>
      <c r="BY281" s="43"/>
      <c r="BZ281" s="43"/>
      <c r="CA281" s="43">
        <v>0</v>
      </c>
      <c r="CB281" s="43">
        <v>0</v>
      </c>
      <c r="CC281" s="92">
        <v>0</v>
      </c>
      <c r="CD281" s="92">
        <v>0</v>
      </c>
      <c r="CE281" s="92">
        <v>0</v>
      </c>
      <c r="CF281" s="92">
        <v>0</v>
      </c>
      <c r="CG281" s="92">
        <f t="shared" si="754"/>
        <v>0</v>
      </c>
      <c r="CH281" s="92">
        <f t="shared" si="754"/>
        <v>0</v>
      </c>
      <c r="CI281" s="43"/>
      <c r="CJ281" s="43"/>
      <c r="CK281" s="43"/>
      <c r="CL281" s="43"/>
      <c r="CM281" s="43"/>
      <c r="CN281" s="43"/>
      <c r="CO281" s="43"/>
      <c r="CP281" s="43"/>
      <c r="CQ281" s="43">
        <f t="shared" si="755"/>
        <v>0</v>
      </c>
      <c r="CR281" s="43">
        <f t="shared" si="755"/>
        <v>0</v>
      </c>
      <c r="CS281" s="43">
        <f t="shared" si="756"/>
        <v>0</v>
      </c>
      <c r="CT281" s="43">
        <f t="shared" si="756"/>
        <v>0</v>
      </c>
      <c r="CU281" s="43"/>
      <c r="CV281" s="43"/>
      <c r="CW281" s="43">
        <f t="shared" si="757"/>
        <v>0</v>
      </c>
      <c r="CX281" s="43">
        <f t="shared" si="757"/>
        <v>0</v>
      </c>
      <c r="CY281" s="43"/>
      <c r="CZ281" s="43"/>
      <c r="DA281" s="43">
        <f t="shared" si="758"/>
        <v>0</v>
      </c>
      <c r="DB281" s="43">
        <f t="shared" si="758"/>
        <v>0</v>
      </c>
      <c r="DC281" s="43"/>
      <c r="DD281" s="43"/>
      <c r="DE281" s="43">
        <f t="shared" si="759"/>
        <v>0</v>
      </c>
      <c r="DF281" s="43">
        <f t="shared" si="759"/>
        <v>0</v>
      </c>
      <c r="DG281" s="43">
        <f t="shared" si="791"/>
        <v>0</v>
      </c>
      <c r="DH281" s="43">
        <f t="shared" si="791"/>
        <v>0</v>
      </c>
      <c r="DI281" s="43">
        <f t="shared" si="794"/>
        <v>0</v>
      </c>
      <c r="DJ281" s="43">
        <f t="shared" si="794"/>
        <v>0</v>
      </c>
      <c r="DK281" s="43"/>
      <c r="DL281" s="43"/>
      <c r="DM281" s="43">
        <f t="shared" si="760"/>
        <v>0</v>
      </c>
      <c r="DN281" s="43">
        <f t="shared" si="760"/>
        <v>0</v>
      </c>
      <c r="DO281" s="60"/>
      <c r="DP281" s="60"/>
      <c r="DQ281" s="60">
        <f t="shared" si="761"/>
        <v>0</v>
      </c>
      <c r="DR281" s="60">
        <f t="shared" si="761"/>
        <v>0</v>
      </c>
      <c r="DS281" s="60">
        <f t="shared" si="762"/>
        <v>0</v>
      </c>
      <c r="DT281" s="60">
        <f t="shared" si="762"/>
        <v>0</v>
      </c>
      <c r="DU281" s="60">
        <f t="shared" si="763"/>
        <v>0</v>
      </c>
      <c r="DV281" s="60">
        <f t="shared" si="763"/>
        <v>0</v>
      </c>
      <c r="DW281" s="60"/>
      <c r="DX281" s="60"/>
      <c r="DY281" s="60">
        <f t="shared" si="701"/>
        <v>0</v>
      </c>
      <c r="DZ281" s="60">
        <f t="shared" si="701"/>
        <v>0</v>
      </c>
      <c r="EA281" s="60"/>
      <c r="EB281" s="60"/>
      <c r="EC281" s="43">
        <f t="shared" si="764"/>
        <v>0</v>
      </c>
      <c r="ED281" s="43">
        <f t="shared" si="764"/>
        <v>0</v>
      </c>
      <c r="EE281" s="43"/>
      <c r="EF281" s="43"/>
      <c r="EG281" s="43" t="e">
        <f t="shared" si="795"/>
        <v>#DIV/0!</v>
      </c>
      <c r="EH281" s="43" t="e">
        <f t="shared" si="795"/>
        <v>#DIV/0!</v>
      </c>
      <c r="EI281" s="43">
        <f t="shared" si="765"/>
        <v>0</v>
      </c>
      <c r="EJ281" s="43">
        <f t="shared" si="765"/>
        <v>0</v>
      </c>
      <c r="EK281" s="43">
        <f t="shared" si="766"/>
        <v>0</v>
      </c>
      <c r="EL281" s="43">
        <f t="shared" si="766"/>
        <v>0</v>
      </c>
      <c r="EM281" s="43">
        <f t="shared" si="767"/>
        <v>0</v>
      </c>
      <c r="EN281" s="43">
        <f t="shared" si="767"/>
        <v>0</v>
      </c>
      <c r="EO281" s="43"/>
      <c r="EP281" s="43"/>
      <c r="EQ281" s="5"/>
      <c r="ER281" s="5"/>
      <c r="ES281" s="5"/>
      <c r="ET281" s="5"/>
      <c r="EU281" s="5">
        <f t="shared" si="642"/>
        <v>0</v>
      </c>
      <c r="EV281" s="5">
        <f t="shared" si="642"/>
        <v>0</v>
      </c>
    </row>
    <row r="282" spans="1:160" ht="18.75" x14ac:dyDescent="0.25">
      <c r="A282" s="37">
        <v>11</v>
      </c>
      <c r="B282" s="37"/>
      <c r="C282" s="80"/>
      <c r="D282" s="38" t="s">
        <v>563</v>
      </c>
      <c r="E282" s="39"/>
      <c r="F282" s="40">
        <v>0</v>
      </c>
      <c r="G282" s="40">
        <v>0</v>
      </c>
      <c r="H282" s="40">
        <v>0</v>
      </c>
      <c r="I282" s="40">
        <v>0</v>
      </c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92"/>
      <c r="U282" s="92"/>
      <c r="V282" s="40"/>
      <c r="W282" s="40">
        <f t="shared" si="792"/>
        <v>0</v>
      </c>
      <c r="X282" s="43">
        <f t="shared" si="716"/>
        <v>0</v>
      </c>
      <c r="Y282" s="43">
        <f t="shared" si="716"/>
        <v>0</v>
      </c>
      <c r="Z282" s="43"/>
      <c r="AA282" s="43"/>
      <c r="AB282" s="43">
        <f t="shared" si="742"/>
        <v>0</v>
      </c>
      <c r="AC282" s="43">
        <f t="shared" si="743"/>
        <v>0</v>
      </c>
      <c r="AD282" s="43"/>
      <c r="AE282" s="43"/>
      <c r="AF282" s="43">
        <f t="shared" si="718"/>
        <v>0</v>
      </c>
      <c r="AG282" s="43">
        <f t="shared" si="719"/>
        <v>0</v>
      </c>
      <c r="AH282" s="43">
        <f t="shared" si="719"/>
        <v>0</v>
      </c>
      <c r="AI282" s="93">
        <f t="shared" si="720"/>
        <v>0</v>
      </c>
      <c r="AJ282" s="43">
        <f t="shared" si="720"/>
        <v>0</v>
      </c>
      <c r="AK282" s="43"/>
      <c r="AL282" s="43"/>
      <c r="AM282" s="43">
        <f t="shared" si="721"/>
        <v>0</v>
      </c>
      <c r="AN282" s="43">
        <f t="shared" si="722"/>
        <v>0</v>
      </c>
      <c r="AO282" s="43"/>
      <c r="AP282" s="43"/>
      <c r="AQ282" s="43">
        <f t="shared" si="723"/>
        <v>0</v>
      </c>
      <c r="AR282" s="43">
        <f t="shared" si="723"/>
        <v>0</v>
      </c>
      <c r="AS282" s="43"/>
      <c r="AT282" s="43"/>
      <c r="AU282" s="43">
        <f t="shared" si="623"/>
        <v>0</v>
      </c>
      <c r="AV282" s="43">
        <f t="shared" si="623"/>
        <v>0</v>
      </c>
      <c r="AW282" s="43"/>
      <c r="AX282" s="43"/>
      <c r="AY282" s="43">
        <f t="shared" si="724"/>
        <v>0</v>
      </c>
      <c r="AZ282" s="43">
        <f t="shared" si="724"/>
        <v>0</v>
      </c>
      <c r="BA282" s="43">
        <f t="shared" si="725"/>
        <v>0</v>
      </c>
      <c r="BB282" s="60"/>
      <c r="BC282" s="60"/>
      <c r="BD282" s="60">
        <f t="shared" si="726"/>
        <v>0</v>
      </c>
      <c r="BE282" s="60">
        <f t="shared" si="726"/>
        <v>0</v>
      </c>
      <c r="BF282" s="60">
        <f t="shared" si="727"/>
        <v>0</v>
      </c>
      <c r="BG282" s="60">
        <f t="shared" si="727"/>
        <v>0</v>
      </c>
      <c r="BH282" s="43">
        <v>0</v>
      </c>
      <c r="BI282" s="43">
        <v>0</v>
      </c>
      <c r="BJ282" s="43"/>
      <c r="BK282" s="43"/>
      <c r="BL282" s="43">
        <f t="shared" si="739"/>
        <v>0</v>
      </c>
      <c r="BM282" s="43">
        <f t="shared" si="739"/>
        <v>0</v>
      </c>
      <c r="BN282" s="43">
        <f t="shared" si="751"/>
        <v>0</v>
      </c>
      <c r="BO282" s="43"/>
      <c r="BP282" s="93"/>
      <c r="BQ282" s="43">
        <f t="shared" si="752"/>
        <v>0</v>
      </c>
      <c r="BR282" s="43">
        <f t="shared" si="752"/>
        <v>0</v>
      </c>
      <c r="BS282" s="43">
        <f t="shared" si="753"/>
        <v>0</v>
      </c>
      <c r="BT282" s="43">
        <f t="shared" si="753"/>
        <v>0</v>
      </c>
      <c r="BU282" s="43">
        <f t="shared" si="779"/>
        <v>0</v>
      </c>
      <c r="BV282" s="43">
        <f t="shared" si="793"/>
        <v>0</v>
      </c>
      <c r="BW282" s="43"/>
      <c r="BX282" s="43"/>
      <c r="BY282" s="43"/>
      <c r="BZ282" s="43"/>
      <c r="CA282" s="43">
        <v>0</v>
      </c>
      <c r="CB282" s="43">
        <v>0</v>
      </c>
      <c r="CC282" s="92">
        <v>0</v>
      </c>
      <c r="CD282" s="92">
        <v>0</v>
      </c>
      <c r="CE282" s="92">
        <v>0</v>
      </c>
      <c r="CF282" s="92">
        <v>0</v>
      </c>
      <c r="CG282" s="92">
        <f t="shared" si="754"/>
        <v>0</v>
      </c>
      <c r="CH282" s="92">
        <f t="shared" si="754"/>
        <v>0</v>
      </c>
      <c r="CI282" s="43"/>
      <c r="CJ282" s="43"/>
      <c r="CK282" s="43"/>
      <c r="CL282" s="43"/>
      <c r="CM282" s="43"/>
      <c r="CN282" s="43"/>
      <c r="CO282" s="43"/>
      <c r="CP282" s="43"/>
      <c r="CQ282" s="43">
        <f t="shared" si="755"/>
        <v>0</v>
      </c>
      <c r="CR282" s="43">
        <f t="shared" si="755"/>
        <v>0</v>
      </c>
      <c r="CS282" s="43">
        <f t="shared" si="756"/>
        <v>0</v>
      </c>
      <c r="CT282" s="43">
        <f t="shared" si="756"/>
        <v>0</v>
      </c>
      <c r="CU282" s="43"/>
      <c r="CV282" s="43"/>
      <c r="CW282" s="43">
        <f t="shared" si="757"/>
        <v>0</v>
      </c>
      <c r="CX282" s="43">
        <f t="shared" si="757"/>
        <v>0</v>
      </c>
      <c r="CY282" s="43"/>
      <c r="CZ282" s="43"/>
      <c r="DA282" s="43">
        <f t="shared" si="758"/>
        <v>0</v>
      </c>
      <c r="DB282" s="43">
        <f t="shared" si="758"/>
        <v>0</v>
      </c>
      <c r="DC282" s="43"/>
      <c r="DD282" s="43"/>
      <c r="DE282" s="43">
        <f t="shared" si="759"/>
        <v>0</v>
      </c>
      <c r="DF282" s="43">
        <f t="shared" si="759"/>
        <v>0</v>
      </c>
      <c r="DG282" s="43">
        <f t="shared" si="791"/>
        <v>0</v>
      </c>
      <c r="DH282" s="43">
        <f t="shared" si="791"/>
        <v>0</v>
      </c>
      <c r="DI282" s="43">
        <f t="shared" si="794"/>
        <v>0</v>
      </c>
      <c r="DJ282" s="43">
        <f t="shared" si="794"/>
        <v>0</v>
      </c>
      <c r="DK282" s="43"/>
      <c r="DL282" s="43"/>
      <c r="DM282" s="43">
        <f t="shared" si="760"/>
        <v>0</v>
      </c>
      <c r="DN282" s="43">
        <f t="shared" si="760"/>
        <v>0</v>
      </c>
      <c r="DO282" s="60"/>
      <c r="DP282" s="60"/>
      <c r="DQ282" s="60">
        <f t="shared" si="761"/>
        <v>0</v>
      </c>
      <c r="DR282" s="60">
        <f t="shared" si="761"/>
        <v>0</v>
      </c>
      <c r="DS282" s="60">
        <f t="shared" si="762"/>
        <v>0</v>
      </c>
      <c r="DT282" s="60">
        <f t="shared" si="762"/>
        <v>0</v>
      </c>
      <c r="DU282" s="60">
        <f t="shared" si="763"/>
        <v>0</v>
      </c>
      <c r="DV282" s="60">
        <f t="shared" si="763"/>
        <v>0</v>
      </c>
      <c r="DW282" s="60"/>
      <c r="DX282" s="60"/>
      <c r="DY282" s="60">
        <f t="shared" si="701"/>
        <v>0</v>
      </c>
      <c r="DZ282" s="60">
        <f t="shared" si="701"/>
        <v>0</v>
      </c>
      <c r="EA282" s="60"/>
      <c r="EB282" s="60"/>
      <c r="EC282" s="43">
        <f t="shared" si="764"/>
        <v>0</v>
      </c>
      <c r="ED282" s="43">
        <f t="shared" si="764"/>
        <v>0</v>
      </c>
      <c r="EE282" s="43"/>
      <c r="EF282" s="43"/>
      <c r="EG282" s="43" t="e">
        <f t="shared" si="795"/>
        <v>#DIV/0!</v>
      </c>
      <c r="EH282" s="43" t="e">
        <f t="shared" si="795"/>
        <v>#DIV/0!</v>
      </c>
      <c r="EI282" s="43">
        <f t="shared" si="765"/>
        <v>0</v>
      </c>
      <c r="EJ282" s="43">
        <f t="shared" si="765"/>
        <v>0</v>
      </c>
      <c r="EK282" s="43">
        <f t="shared" si="766"/>
        <v>0</v>
      </c>
      <c r="EL282" s="43">
        <f t="shared" si="766"/>
        <v>0</v>
      </c>
      <c r="EM282" s="43">
        <f t="shared" si="767"/>
        <v>0</v>
      </c>
      <c r="EN282" s="43">
        <f t="shared" si="767"/>
        <v>0</v>
      </c>
      <c r="EO282" s="43"/>
      <c r="EP282" s="43"/>
      <c r="EQ282" s="5"/>
      <c r="ER282" s="5"/>
      <c r="ES282" s="5"/>
      <c r="ET282" s="5"/>
      <c r="EU282" s="5">
        <f t="shared" si="642"/>
        <v>0</v>
      </c>
      <c r="EV282" s="5">
        <f t="shared" si="642"/>
        <v>0</v>
      </c>
    </row>
    <row r="283" spans="1:160" ht="18.75" x14ac:dyDescent="0.25">
      <c r="A283" s="37"/>
      <c r="B283" s="37"/>
      <c r="C283" s="80"/>
      <c r="D283" s="38" t="s">
        <v>564</v>
      </c>
      <c r="E283" s="39"/>
      <c r="F283" s="40">
        <v>0</v>
      </c>
      <c r="G283" s="40">
        <v>0</v>
      </c>
      <c r="H283" s="40">
        <v>0</v>
      </c>
      <c r="I283" s="40">
        <v>0</v>
      </c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92"/>
      <c r="U283" s="92"/>
      <c r="V283" s="40"/>
      <c r="W283" s="40">
        <f t="shared" si="792"/>
        <v>0</v>
      </c>
      <c r="X283" s="43">
        <f t="shared" si="716"/>
        <v>0</v>
      </c>
      <c r="Y283" s="43">
        <f t="shared" si="716"/>
        <v>0</v>
      </c>
      <c r="Z283" s="43"/>
      <c r="AA283" s="43"/>
      <c r="AB283" s="43">
        <f t="shared" si="742"/>
        <v>0</v>
      </c>
      <c r="AC283" s="43">
        <f t="shared" si="743"/>
        <v>0</v>
      </c>
      <c r="AD283" s="43"/>
      <c r="AE283" s="43"/>
      <c r="AF283" s="43">
        <f t="shared" si="718"/>
        <v>0</v>
      </c>
      <c r="AG283" s="43">
        <f t="shared" si="719"/>
        <v>0</v>
      </c>
      <c r="AH283" s="43">
        <f t="shared" si="719"/>
        <v>0</v>
      </c>
      <c r="AI283" s="93">
        <f t="shared" si="720"/>
        <v>0</v>
      </c>
      <c r="AJ283" s="43">
        <f t="shared" si="720"/>
        <v>0</v>
      </c>
      <c r="AK283" s="43"/>
      <c r="AL283" s="43"/>
      <c r="AM283" s="43">
        <f t="shared" si="721"/>
        <v>0</v>
      </c>
      <c r="AN283" s="43">
        <f t="shared" si="722"/>
        <v>0</v>
      </c>
      <c r="AO283" s="43"/>
      <c r="AP283" s="43"/>
      <c r="AQ283" s="43">
        <f t="shared" si="723"/>
        <v>0</v>
      </c>
      <c r="AR283" s="43">
        <f t="shared" si="723"/>
        <v>0</v>
      </c>
      <c r="AS283" s="43"/>
      <c r="AT283" s="43"/>
      <c r="AU283" s="43">
        <f t="shared" ref="AU283:AV285" si="796">ROUND(AD283*25%,2)</f>
        <v>0</v>
      </c>
      <c r="AV283" s="43">
        <f t="shared" si="796"/>
        <v>0</v>
      </c>
      <c r="AW283" s="43"/>
      <c r="AX283" s="43"/>
      <c r="AY283" s="43">
        <f t="shared" si="724"/>
        <v>0</v>
      </c>
      <c r="AZ283" s="43">
        <f t="shared" si="724"/>
        <v>0</v>
      </c>
      <c r="BA283" s="43">
        <f t="shared" si="725"/>
        <v>0</v>
      </c>
      <c r="BB283" s="60"/>
      <c r="BC283" s="60"/>
      <c r="BD283" s="60">
        <f t="shared" si="726"/>
        <v>0</v>
      </c>
      <c r="BE283" s="60">
        <f t="shared" si="726"/>
        <v>0</v>
      </c>
      <c r="BF283" s="60">
        <f t="shared" si="727"/>
        <v>0</v>
      </c>
      <c r="BG283" s="60">
        <f t="shared" si="727"/>
        <v>0</v>
      </c>
      <c r="BH283" s="43">
        <v>0</v>
      </c>
      <c r="BI283" s="43">
        <v>0</v>
      </c>
      <c r="BJ283" s="43"/>
      <c r="BK283" s="43"/>
      <c r="BL283" s="43">
        <f t="shared" si="739"/>
        <v>0</v>
      </c>
      <c r="BM283" s="43">
        <f t="shared" si="739"/>
        <v>0</v>
      </c>
      <c r="BN283" s="43">
        <f t="shared" si="751"/>
        <v>0</v>
      </c>
      <c r="BO283" s="43"/>
      <c r="BP283" s="93"/>
      <c r="BQ283" s="43">
        <f t="shared" si="752"/>
        <v>0</v>
      </c>
      <c r="BR283" s="43">
        <f t="shared" si="752"/>
        <v>0</v>
      </c>
      <c r="BS283" s="43">
        <f t="shared" si="753"/>
        <v>0</v>
      </c>
      <c r="BT283" s="43">
        <f t="shared" si="753"/>
        <v>0</v>
      </c>
      <c r="BU283" s="43">
        <f t="shared" si="779"/>
        <v>0</v>
      </c>
      <c r="BV283" s="43">
        <f t="shared" si="793"/>
        <v>0</v>
      </c>
      <c r="BW283" s="43"/>
      <c r="BX283" s="43"/>
      <c r="BY283" s="43"/>
      <c r="BZ283" s="43"/>
      <c r="CA283" s="43">
        <v>0</v>
      </c>
      <c r="CB283" s="43">
        <v>0</v>
      </c>
      <c r="CC283" s="92">
        <v>0</v>
      </c>
      <c r="CD283" s="92">
        <v>0</v>
      </c>
      <c r="CE283" s="92">
        <v>0</v>
      </c>
      <c r="CF283" s="92">
        <v>0</v>
      </c>
      <c r="CG283" s="92">
        <f t="shared" si="754"/>
        <v>0</v>
      </c>
      <c r="CH283" s="92">
        <f t="shared" si="754"/>
        <v>0</v>
      </c>
      <c r="CI283" s="43"/>
      <c r="CJ283" s="43"/>
      <c r="CK283" s="43"/>
      <c r="CL283" s="43"/>
      <c r="CM283" s="43"/>
      <c r="CN283" s="43"/>
      <c r="CO283" s="43"/>
      <c r="CP283" s="43"/>
      <c r="CQ283" s="43">
        <f t="shared" si="755"/>
        <v>0</v>
      </c>
      <c r="CR283" s="43">
        <f t="shared" si="755"/>
        <v>0</v>
      </c>
      <c r="CS283" s="43">
        <f t="shared" si="756"/>
        <v>0</v>
      </c>
      <c r="CT283" s="43">
        <f t="shared" si="756"/>
        <v>0</v>
      </c>
      <c r="CU283" s="43"/>
      <c r="CV283" s="43"/>
      <c r="CW283" s="43">
        <f t="shared" si="757"/>
        <v>0</v>
      </c>
      <c r="CX283" s="43">
        <f t="shared" si="757"/>
        <v>0</v>
      </c>
      <c r="CY283" s="43"/>
      <c r="CZ283" s="43"/>
      <c r="DA283" s="43">
        <f t="shared" si="758"/>
        <v>0</v>
      </c>
      <c r="DB283" s="43">
        <f t="shared" si="758"/>
        <v>0</v>
      </c>
      <c r="DC283" s="43"/>
      <c r="DD283" s="43"/>
      <c r="DE283" s="43">
        <f t="shared" si="759"/>
        <v>0</v>
      </c>
      <c r="DF283" s="43">
        <f t="shared" si="759"/>
        <v>0</v>
      </c>
      <c r="DG283" s="43">
        <f t="shared" si="791"/>
        <v>0</v>
      </c>
      <c r="DH283" s="43">
        <f t="shared" si="791"/>
        <v>0</v>
      </c>
      <c r="DI283" s="43">
        <f t="shared" si="794"/>
        <v>0</v>
      </c>
      <c r="DJ283" s="43">
        <f t="shared" si="794"/>
        <v>0</v>
      </c>
      <c r="DK283" s="43"/>
      <c r="DL283" s="43"/>
      <c r="DM283" s="43">
        <f t="shared" si="760"/>
        <v>0</v>
      </c>
      <c r="DN283" s="43">
        <f t="shared" si="760"/>
        <v>0</v>
      </c>
      <c r="DO283" s="60"/>
      <c r="DP283" s="60"/>
      <c r="DQ283" s="60">
        <f t="shared" si="761"/>
        <v>0</v>
      </c>
      <c r="DR283" s="60">
        <f t="shared" si="761"/>
        <v>0</v>
      </c>
      <c r="DS283" s="60">
        <f t="shared" si="762"/>
        <v>0</v>
      </c>
      <c r="DT283" s="60">
        <f t="shared" si="762"/>
        <v>0</v>
      </c>
      <c r="DU283" s="60">
        <f t="shared" si="763"/>
        <v>0</v>
      </c>
      <c r="DV283" s="60">
        <f t="shared" si="763"/>
        <v>0</v>
      </c>
      <c r="DW283" s="60"/>
      <c r="DX283" s="60"/>
      <c r="DY283" s="60">
        <f t="shared" si="701"/>
        <v>0</v>
      </c>
      <c r="DZ283" s="60">
        <f t="shared" si="701"/>
        <v>0</v>
      </c>
      <c r="EA283" s="60"/>
      <c r="EB283" s="60"/>
      <c r="EC283" s="43">
        <f t="shared" si="764"/>
        <v>0</v>
      </c>
      <c r="ED283" s="43">
        <f t="shared" si="764"/>
        <v>0</v>
      </c>
      <c r="EE283" s="43"/>
      <c r="EF283" s="43"/>
      <c r="EG283" s="43" t="e">
        <f t="shared" si="795"/>
        <v>#DIV/0!</v>
      </c>
      <c r="EH283" s="43" t="e">
        <f t="shared" si="795"/>
        <v>#DIV/0!</v>
      </c>
      <c r="EI283" s="43">
        <f t="shared" si="765"/>
        <v>0</v>
      </c>
      <c r="EJ283" s="43">
        <f t="shared" si="765"/>
        <v>0</v>
      </c>
      <c r="EK283" s="43">
        <f t="shared" si="766"/>
        <v>0</v>
      </c>
      <c r="EL283" s="43">
        <f t="shared" si="766"/>
        <v>0</v>
      </c>
      <c r="EM283" s="43">
        <f t="shared" si="767"/>
        <v>0</v>
      </c>
      <c r="EN283" s="43">
        <f t="shared" si="767"/>
        <v>0</v>
      </c>
      <c r="EO283" s="43"/>
      <c r="EP283" s="43"/>
      <c r="EQ283" s="5"/>
      <c r="ER283" s="5"/>
      <c r="ES283" s="5"/>
      <c r="ET283" s="5"/>
      <c r="EU283" s="5">
        <f t="shared" si="642"/>
        <v>0</v>
      </c>
      <c r="EV283" s="5">
        <f t="shared" si="642"/>
        <v>0</v>
      </c>
    </row>
    <row r="284" spans="1:160" ht="18.75" x14ac:dyDescent="0.25">
      <c r="A284" s="37"/>
      <c r="B284" s="37"/>
      <c r="C284" s="80"/>
      <c r="D284" s="38" t="s">
        <v>565</v>
      </c>
      <c r="E284" s="39"/>
      <c r="F284" s="40">
        <v>0</v>
      </c>
      <c r="G284" s="40">
        <v>0</v>
      </c>
      <c r="H284" s="40">
        <v>0</v>
      </c>
      <c r="I284" s="40">
        <v>0</v>
      </c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92"/>
      <c r="U284" s="92"/>
      <c r="V284" s="40"/>
      <c r="W284" s="40">
        <f t="shared" si="792"/>
        <v>0</v>
      </c>
      <c r="X284" s="43">
        <f t="shared" si="716"/>
        <v>0</v>
      </c>
      <c r="Y284" s="43">
        <f t="shared" si="716"/>
        <v>0</v>
      </c>
      <c r="Z284" s="43"/>
      <c r="AA284" s="43"/>
      <c r="AB284" s="43">
        <f t="shared" si="742"/>
        <v>0</v>
      </c>
      <c r="AC284" s="43">
        <f t="shared" si="743"/>
        <v>0</v>
      </c>
      <c r="AD284" s="43"/>
      <c r="AE284" s="43"/>
      <c r="AF284" s="43">
        <f t="shared" si="718"/>
        <v>0</v>
      </c>
      <c r="AG284" s="43">
        <f t="shared" si="719"/>
        <v>0</v>
      </c>
      <c r="AH284" s="43">
        <f t="shared" si="719"/>
        <v>0</v>
      </c>
      <c r="AI284" s="93">
        <f t="shared" si="720"/>
        <v>0</v>
      </c>
      <c r="AJ284" s="43">
        <f t="shared" si="720"/>
        <v>0</v>
      </c>
      <c r="AK284" s="43"/>
      <c r="AL284" s="43"/>
      <c r="AM284" s="43">
        <f t="shared" si="721"/>
        <v>0</v>
      </c>
      <c r="AN284" s="43">
        <f t="shared" si="722"/>
        <v>0</v>
      </c>
      <c r="AO284" s="43"/>
      <c r="AP284" s="43"/>
      <c r="AQ284" s="43">
        <f t="shared" si="723"/>
        <v>0</v>
      </c>
      <c r="AR284" s="43">
        <f t="shared" si="723"/>
        <v>0</v>
      </c>
      <c r="AS284" s="43"/>
      <c r="AT284" s="43"/>
      <c r="AU284" s="43">
        <f t="shared" si="796"/>
        <v>0</v>
      </c>
      <c r="AV284" s="43">
        <f t="shared" si="796"/>
        <v>0</v>
      </c>
      <c r="AW284" s="43"/>
      <c r="AX284" s="43"/>
      <c r="AY284" s="43">
        <f t="shared" si="724"/>
        <v>0</v>
      </c>
      <c r="AZ284" s="43">
        <f t="shared" si="724"/>
        <v>0</v>
      </c>
      <c r="BA284" s="43">
        <f t="shared" si="725"/>
        <v>0</v>
      </c>
      <c r="BB284" s="60"/>
      <c r="BC284" s="60"/>
      <c r="BD284" s="60">
        <f t="shared" si="726"/>
        <v>0</v>
      </c>
      <c r="BE284" s="60">
        <f t="shared" si="726"/>
        <v>0</v>
      </c>
      <c r="BF284" s="60">
        <f t="shared" si="727"/>
        <v>0</v>
      </c>
      <c r="BG284" s="60">
        <f t="shared" si="727"/>
        <v>0</v>
      </c>
      <c r="BH284" s="43">
        <v>0</v>
      </c>
      <c r="BI284" s="43">
        <v>0</v>
      </c>
      <c r="BJ284" s="43"/>
      <c r="BK284" s="43"/>
      <c r="BL284" s="43">
        <f t="shared" si="739"/>
        <v>0</v>
      </c>
      <c r="BM284" s="43">
        <f t="shared" si="739"/>
        <v>0</v>
      </c>
      <c r="BN284" s="43">
        <f t="shared" si="751"/>
        <v>0</v>
      </c>
      <c r="BO284" s="43"/>
      <c r="BP284" s="93"/>
      <c r="BQ284" s="43">
        <f t="shared" si="752"/>
        <v>0</v>
      </c>
      <c r="BR284" s="43">
        <f t="shared" si="752"/>
        <v>0</v>
      </c>
      <c r="BS284" s="43">
        <f t="shared" si="753"/>
        <v>0</v>
      </c>
      <c r="BT284" s="43">
        <f t="shared" si="753"/>
        <v>0</v>
      </c>
      <c r="BU284" s="43">
        <f t="shared" si="779"/>
        <v>0</v>
      </c>
      <c r="BV284" s="43">
        <f t="shared" si="793"/>
        <v>0</v>
      </c>
      <c r="BW284" s="43"/>
      <c r="BX284" s="43"/>
      <c r="BY284" s="43"/>
      <c r="BZ284" s="43"/>
      <c r="CA284" s="43">
        <v>0</v>
      </c>
      <c r="CB284" s="43">
        <v>0</v>
      </c>
      <c r="CC284" s="92">
        <v>0</v>
      </c>
      <c r="CD284" s="92">
        <v>0</v>
      </c>
      <c r="CE284" s="92">
        <v>0</v>
      </c>
      <c r="CF284" s="92">
        <v>0</v>
      </c>
      <c r="CG284" s="92">
        <f t="shared" si="754"/>
        <v>0</v>
      </c>
      <c r="CH284" s="92">
        <f t="shared" si="754"/>
        <v>0</v>
      </c>
      <c r="CI284" s="43"/>
      <c r="CJ284" s="43"/>
      <c r="CK284" s="43"/>
      <c r="CL284" s="43"/>
      <c r="CM284" s="43"/>
      <c r="CN284" s="43"/>
      <c r="CO284" s="43"/>
      <c r="CP284" s="43"/>
      <c r="CQ284" s="43">
        <f t="shared" si="755"/>
        <v>0</v>
      </c>
      <c r="CR284" s="43">
        <f t="shared" si="755"/>
        <v>0</v>
      </c>
      <c r="CS284" s="43">
        <f t="shared" si="756"/>
        <v>0</v>
      </c>
      <c r="CT284" s="43">
        <f t="shared" si="756"/>
        <v>0</v>
      </c>
      <c r="CU284" s="43"/>
      <c r="CV284" s="43"/>
      <c r="CW284" s="43">
        <f t="shared" si="757"/>
        <v>0</v>
      </c>
      <c r="CX284" s="43">
        <f t="shared" si="757"/>
        <v>0</v>
      </c>
      <c r="CY284" s="43"/>
      <c r="CZ284" s="43"/>
      <c r="DA284" s="43">
        <f t="shared" si="758"/>
        <v>0</v>
      </c>
      <c r="DB284" s="43">
        <f t="shared" si="758"/>
        <v>0</v>
      </c>
      <c r="DC284" s="43"/>
      <c r="DD284" s="43"/>
      <c r="DE284" s="43">
        <f t="shared" si="759"/>
        <v>0</v>
      </c>
      <c r="DF284" s="43">
        <f t="shared" si="759"/>
        <v>0</v>
      </c>
      <c r="DG284" s="43">
        <f t="shared" si="791"/>
        <v>0</v>
      </c>
      <c r="DH284" s="43">
        <f t="shared" si="791"/>
        <v>0</v>
      </c>
      <c r="DI284" s="43">
        <f t="shared" si="794"/>
        <v>0</v>
      </c>
      <c r="DJ284" s="43">
        <f t="shared" si="794"/>
        <v>0</v>
      </c>
      <c r="DK284" s="43"/>
      <c r="DL284" s="43"/>
      <c r="DM284" s="43">
        <f t="shared" si="760"/>
        <v>0</v>
      </c>
      <c r="DN284" s="43">
        <f t="shared" si="760"/>
        <v>0</v>
      </c>
      <c r="DO284" s="60"/>
      <c r="DP284" s="60"/>
      <c r="DQ284" s="60">
        <f t="shared" si="761"/>
        <v>0</v>
      </c>
      <c r="DR284" s="60">
        <f t="shared" si="761"/>
        <v>0</v>
      </c>
      <c r="DS284" s="60">
        <f t="shared" si="762"/>
        <v>0</v>
      </c>
      <c r="DT284" s="60">
        <f t="shared" si="762"/>
        <v>0</v>
      </c>
      <c r="DU284" s="60">
        <f t="shared" si="763"/>
        <v>0</v>
      </c>
      <c r="DV284" s="60">
        <f t="shared" si="763"/>
        <v>0</v>
      </c>
      <c r="DW284" s="60"/>
      <c r="DX284" s="60"/>
      <c r="DY284" s="60">
        <f t="shared" si="701"/>
        <v>0</v>
      </c>
      <c r="DZ284" s="60">
        <f t="shared" si="701"/>
        <v>0</v>
      </c>
      <c r="EA284" s="60"/>
      <c r="EB284" s="60"/>
      <c r="EC284" s="43">
        <f t="shared" si="764"/>
        <v>0</v>
      </c>
      <c r="ED284" s="43">
        <f t="shared" si="764"/>
        <v>0</v>
      </c>
      <c r="EE284" s="43"/>
      <c r="EF284" s="43"/>
      <c r="EG284" s="43" t="e">
        <f t="shared" si="795"/>
        <v>#DIV/0!</v>
      </c>
      <c r="EH284" s="43" t="e">
        <f t="shared" si="795"/>
        <v>#DIV/0!</v>
      </c>
      <c r="EI284" s="43">
        <f t="shared" si="765"/>
        <v>0</v>
      </c>
      <c r="EJ284" s="43">
        <f t="shared" si="765"/>
        <v>0</v>
      </c>
      <c r="EK284" s="43">
        <f t="shared" si="766"/>
        <v>0</v>
      </c>
      <c r="EL284" s="43">
        <f t="shared" si="766"/>
        <v>0</v>
      </c>
      <c r="EM284" s="43">
        <f t="shared" si="767"/>
        <v>0</v>
      </c>
      <c r="EN284" s="43">
        <f t="shared" si="767"/>
        <v>0</v>
      </c>
      <c r="EO284" s="43"/>
      <c r="EP284" s="43"/>
      <c r="EQ284" s="5"/>
      <c r="ER284" s="5"/>
      <c r="ES284" s="5"/>
      <c r="ET284" s="5"/>
      <c r="EU284" s="5">
        <f t="shared" si="642"/>
        <v>0</v>
      </c>
      <c r="EV284" s="5">
        <f t="shared" si="642"/>
        <v>0</v>
      </c>
    </row>
    <row r="285" spans="1:160" ht="18.75" x14ac:dyDescent="0.25">
      <c r="A285" s="37"/>
      <c r="B285" s="37"/>
      <c r="C285" s="80"/>
      <c r="D285" s="38" t="s">
        <v>566</v>
      </c>
      <c r="E285" s="39"/>
      <c r="F285" s="40">
        <v>0</v>
      </c>
      <c r="G285" s="40">
        <v>0</v>
      </c>
      <c r="H285" s="40">
        <v>0</v>
      </c>
      <c r="I285" s="40">
        <v>0</v>
      </c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92"/>
      <c r="U285" s="92"/>
      <c r="V285" s="40"/>
      <c r="W285" s="40">
        <f t="shared" si="792"/>
        <v>0</v>
      </c>
      <c r="X285" s="43">
        <f t="shared" si="716"/>
        <v>0</v>
      </c>
      <c r="Y285" s="43">
        <f t="shared" si="716"/>
        <v>0</v>
      </c>
      <c r="Z285" s="43"/>
      <c r="AA285" s="43"/>
      <c r="AB285" s="43">
        <f t="shared" si="742"/>
        <v>0</v>
      </c>
      <c r="AC285" s="43">
        <f t="shared" si="743"/>
        <v>0</v>
      </c>
      <c r="AD285" s="43"/>
      <c r="AE285" s="43"/>
      <c r="AF285" s="43">
        <f t="shared" si="718"/>
        <v>0</v>
      </c>
      <c r="AG285" s="43">
        <f t="shared" si="719"/>
        <v>0</v>
      </c>
      <c r="AH285" s="43">
        <f t="shared" si="719"/>
        <v>0</v>
      </c>
      <c r="AI285" s="93">
        <f t="shared" si="720"/>
        <v>0</v>
      </c>
      <c r="AJ285" s="43">
        <f t="shared" si="720"/>
        <v>0</v>
      </c>
      <c r="AK285" s="43"/>
      <c r="AL285" s="43"/>
      <c r="AM285" s="43">
        <f t="shared" si="721"/>
        <v>0</v>
      </c>
      <c r="AN285" s="43">
        <f t="shared" si="722"/>
        <v>0</v>
      </c>
      <c r="AO285" s="43"/>
      <c r="AP285" s="43"/>
      <c r="AQ285" s="43">
        <f t="shared" si="723"/>
        <v>0</v>
      </c>
      <c r="AR285" s="43">
        <f t="shared" si="723"/>
        <v>0</v>
      </c>
      <c r="AS285" s="43"/>
      <c r="AT285" s="43"/>
      <c r="AU285" s="43">
        <f t="shared" si="796"/>
        <v>0</v>
      </c>
      <c r="AV285" s="43">
        <f t="shared" si="796"/>
        <v>0</v>
      </c>
      <c r="AW285" s="43"/>
      <c r="AX285" s="43"/>
      <c r="AY285" s="43">
        <f t="shared" si="724"/>
        <v>0</v>
      </c>
      <c r="AZ285" s="43">
        <f t="shared" si="724"/>
        <v>0</v>
      </c>
      <c r="BA285" s="43">
        <f t="shared" si="725"/>
        <v>0</v>
      </c>
      <c r="BB285" s="60"/>
      <c r="BC285" s="60"/>
      <c r="BD285" s="60">
        <f t="shared" si="726"/>
        <v>0</v>
      </c>
      <c r="BE285" s="60">
        <f t="shared" si="726"/>
        <v>0</v>
      </c>
      <c r="BF285" s="60">
        <f t="shared" si="727"/>
        <v>0</v>
      </c>
      <c r="BG285" s="60">
        <f t="shared" si="727"/>
        <v>0</v>
      </c>
      <c r="BH285" s="43">
        <v>0</v>
      </c>
      <c r="BI285" s="43">
        <v>0</v>
      </c>
      <c r="BJ285" s="43"/>
      <c r="BK285" s="43"/>
      <c r="BL285" s="43">
        <f t="shared" si="739"/>
        <v>0</v>
      </c>
      <c r="BM285" s="43">
        <f t="shared" si="739"/>
        <v>0</v>
      </c>
      <c r="BN285" s="43">
        <f t="shared" si="751"/>
        <v>0</v>
      </c>
      <c r="BO285" s="43"/>
      <c r="BP285" s="93"/>
      <c r="BQ285" s="43">
        <f t="shared" si="752"/>
        <v>0</v>
      </c>
      <c r="BR285" s="43">
        <f t="shared" si="752"/>
        <v>0</v>
      </c>
      <c r="BS285" s="43">
        <f t="shared" si="753"/>
        <v>0</v>
      </c>
      <c r="BT285" s="43">
        <f t="shared" si="753"/>
        <v>0</v>
      </c>
      <c r="BU285" s="43">
        <f t="shared" si="779"/>
        <v>0</v>
      </c>
      <c r="BV285" s="43">
        <f t="shared" si="793"/>
        <v>0</v>
      </c>
      <c r="BW285" s="43"/>
      <c r="BX285" s="43"/>
      <c r="BY285" s="43"/>
      <c r="BZ285" s="43"/>
      <c r="CA285" s="43">
        <v>0</v>
      </c>
      <c r="CB285" s="43">
        <v>0</v>
      </c>
      <c r="CC285" s="92">
        <v>0</v>
      </c>
      <c r="CD285" s="92">
        <v>0</v>
      </c>
      <c r="CE285" s="92">
        <v>0</v>
      </c>
      <c r="CF285" s="92">
        <v>0</v>
      </c>
      <c r="CG285" s="92">
        <f t="shared" si="754"/>
        <v>0</v>
      </c>
      <c r="CH285" s="92">
        <f t="shared" si="754"/>
        <v>0</v>
      </c>
      <c r="CI285" s="43"/>
      <c r="CJ285" s="43"/>
      <c r="CK285" s="43"/>
      <c r="CL285" s="43"/>
      <c r="CM285" s="43"/>
      <c r="CN285" s="43"/>
      <c r="CO285" s="43"/>
      <c r="CP285" s="43"/>
      <c r="CQ285" s="43">
        <f t="shared" si="755"/>
        <v>0</v>
      </c>
      <c r="CR285" s="43">
        <f t="shared" si="755"/>
        <v>0</v>
      </c>
      <c r="CS285" s="43">
        <f t="shared" si="756"/>
        <v>0</v>
      </c>
      <c r="CT285" s="43">
        <f t="shared" si="756"/>
        <v>0</v>
      </c>
      <c r="CU285" s="43"/>
      <c r="CV285" s="43"/>
      <c r="CW285" s="43">
        <f t="shared" si="757"/>
        <v>0</v>
      </c>
      <c r="CX285" s="43">
        <f t="shared" si="757"/>
        <v>0</v>
      </c>
      <c r="CY285" s="43"/>
      <c r="CZ285" s="43"/>
      <c r="DA285" s="43">
        <f t="shared" si="758"/>
        <v>0</v>
      </c>
      <c r="DB285" s="43">
        <f t="shared" si="758"/>
        <v>0</v>
      </c>
      <c r="DC285" s="43"/>
      <c r="DD285" s="43"/>
      <c r="DE285" s="43">
        <f t="shared" si="759"/>
        <v>0</v>
      </c>
      <c r="DF285" s="43">
        <f t="shared" si="759"/>
        <v>0</v>
      </c>
      <c r="DG285" s="43">
        <f t="shared" si="791"/>
        <v>0</v>
      </c>
      <c r="DH285" s="43">
        <f t="shared" si="791"/>
        <v>0</v>
      </c>
      <c r="DI285" s="43">
        <f t="shared" si="794"/>
        <v>0</v>
      </c>
      <c r="DJ285" s="43">
        <f t="shared" si="794"/>
        <v>0</v>
      </c>
      <c r="DK285" s="43"/>
      <c r="DL285" s="43"/>
      <c r="DM285" s="43">
        <f t="shared" si="760"/>
        <v>0</v>
      </c>
      <c r="DN285" s="43">
        <f t="shared" si="760"/>
        <v>0</v>
      </c>
      <c r="DO285" s="60"/>
      <c r="DP285" s="60"/>
      <c r="DQ285" s="60">
        <f t="shared" si="761"/>
        <v>0</v>
      </c>
      <c r="DR285" s="60">
        <f t="shared" si="761"/>
        <v>0</v>
      </c>
      <c r="DS285" s="60">
        <f t="shared" si="762"/>
        <v>0</v>
      </c>
      <c r="DT285" s="60">
        <f t="shared" si="762"/>
        <v>0</v>
      </c>
      <c r="DU285" s="60">
        <f t="shared" si="763"/>
        <v>0</v>
      </c>
      <c r="DV285" s="60">
        <f t="shared" si="763"/>
        <v>0</v>
      </c>
      <c r="DW285" s="60"/>
      <c r="DX285" s="60"/>
      <c r="DY285" s="60">
        <f t="shared" si="701"/>
        <v>0</v>
      </c>
      <c r="DZ285" s="60">
        <f t="shared" si="701"/>
        <v>0</v>
      </c>
      <c r="EA285" s="60"/>
      <c r="EB285" s="60"/>
      <c r="EC285" s="43">
        <f t="shared" si="764"/>
        <v>0</v>
      </c>
      <c r="ED285" s="43">
        <f t="shared" si="764"/>
        <v>0</v>
      </c>
      <c r="EE285" s="43"/>
      <c r="EF285" s="43"/>
      <c r="EG285" s="43" t="e">
        <f t="shared" si="795"/>
        <v>#DIV/0!</v>
      </c>
      <c r="EH285" s="43" t="e">
        <f t="shared" si="795"/>
        <v>#DIV/0!</v>
      </c>
      <c r="EI285" s="43">
        <f t="shared" si="765"/>
        <v>0</v>
      </c>
      <c r="EJ285" s="43">
        <f t="shared" si="765"/>
        <v>0</v>
      </c>
      <c r="EK285" s="43">
        <f t="shared" si="766"/>
        <v>0</v>
      </c>
      <c r="EL285" s="43">
        <f t="shared" si="766"/>
        <v>0</v>
      </c>
      <c r="EM285" s="43">
        <f t="shared" si="767"/>
        <v>0</v>
      </c>
      <c r="EN285" s="43">
        <f t="shared" si="767"/>
        <v>0</v>
      </c>
      <c r="EO285" s="43"/>
      <c r="EP285" s="43"/>
      <c r="EQ285" s="5"/>
      <c r="ER285" s="5"/>
      <c r="ES285" s="5"/>
      <c r="ET285" s="5"/>
      <c r="EU285" s="5">
        <f t="shared" si="642"/>
        <v>0</v>
      </c>
      <c r="EV285" s="5">
        <f t="shared" si="642"/>
        <v>0</v>
      </c>
    </row>
    <row r="286" spans="1:160" ht="18.75" x14ac:dyDescent="0.25">
      <c r="A286" s="68"/>
      <c r="B286" s="68" t="s">
        <v>567</v>
      </c>
      <c r="C286" s="91" t="s">
        <v>122</v>
      </c>
      <c r="D286" s="67" t="s">
        <v>553</v>
      </c>
      <c r="E286" s="69" t="s">
        <v>568</v>
      </c>
      <c r="F286" s="127">
        <v>8182.66</v>
      </c>
      <c r="G286" s="127">
        <v>5831.45</v>
      </c>
      <c r="H286" s="127">
        <v>8532.66</v>
      </c>
      <c r="I286" s="127">
        <v>5831.45</v>
      </c>
      <c r="J286" s="128">
        <f t="shared" ref="J286:AA286" si="797">J285+J284+J283+J282+J281+J280+J278+J279+J277+J276+J275+J274+J273+J272</f>
        <v>9000</v>
      </c>
      <c r="K286" s="128">
        <f t="shared" si="797"/>
        <v>0</v>
      </c>
      <c r="L286" s="128">
        <f t="shared" si="797"/>
        <v>0</v>
      </c>
      <c r="M286" s="128">
        <f t="shared" si="797"/>
        <v>9000</v>
      </c>
      <c r="N286" s="128">
        <f t="shared" si="797"/>
        <v>0</v>
      </c>
      <c r="O286" s="128">
        <f t="shared" si="797"/>
        <v>0</v>
      </c>
      <c r="P286" s="128">
        <f t="shared" si="797"/>
        <v>0</v>
      </c>
      <c r="Q286" s="128">
        <f t="shared" si="797"/>
        <v>0</v>
      </c>
      <c r="R286" s="128">
        <f t="shared" si="797"/>
        <v>9000</v>
      </c>
      <c r="S286" s="128">
        <f t="shared" si="797"/>
        <v>6200</v>
      </c>
      <c r="T286" s="128">
        <f t="shared" si="797"/>
        <v>0</v>
      </c>
      <c r="U286" s="128">
        <f t="shared" si="797"/>
        <v>0</v>
      </c>
      <c r="V286" s="128">
        <f t="shared" si="797"/>
        <v>9018.7099999999991</v>
      </c>
      <c r="W286" s="128">
        <f t="shared" si="797"/>
        <v>6025.9500000000007</v>
      </c>
      <c r="X286" s="128">
        <f t="shared" si="797"/>
        <v>-18.709999999999127</v>
      </c>
      <c r="Y286" s="128">
        <f t="shared" si="797"/>
        <v>174.04999999999927</v>
      </c>
      <c r="Z286" s="128">
        <f t="shared" si="797"/>
        <v>9100</v>
      </c>
      <c r="AA286" s="128">
        <f t="shared" si="797"/>
        <v>0</v>
      </c>
      <c r="AB286" s="127">
        <f t="shared" si="742"/>
        <v>9100</v>
      </c>
      <c r="AC286" s="43">
        <f t="shared" si="743"/>
        <v>0</v>
      </c>
      <c r="AD286" s="127">
        <f t="shared" ref="AD286:CQ286" si="798">+AD272</f>
        <v>9100</v>
      </c>
      <c r="AE286" s="127">
        <f t="shared" si="798"/>
        <v>6900</v>
      </c>
      <c r="AF286" s="127">
        <f t="shared" si="798"/>
        <v>6093.64</v>
      </c>
      <c r="AG286" s="127">
        <f t="shared" si="798"/>
        <v>2250</v>
      </c>
      <c r="AH286" s="127">
        <f t="shared" si="798"/>
        <v>1756</v>
      </c>
      <c r="AI286" s="129">
        <f t="shared" si="798"/>
        <v>750</v>
      </c>
      <c r="AJ286" s="127">
        <f t="shared" si="798"/>
        <v>620</v>
      </c>
      <c r="AK286" s="127">
        <f t="shared" si="798"/>
        <v>0</v>
      </c>
      <c r="AL286" s="127">
        <f t="shared" si="798"/>
        <v>0</v>
      </c>
      <c r="AM286" s="127">
        <f t="shared" si="798"/>
        <v>2250</v>
      </c>
      <c r="AN286" s="127">
        <f t="shared" si="798"/>
        <v>1710.82</v>
      </c>
      <c r="AO286" s="127">
        <f t="shared" si="798"/>
        <v>0</v>
      </c>
      <c r="AP286" s="127">
        <f t="shared" si="798"/>
        <v>0</v>
      </c>
      <c r="AQ286" s="127">
        <f t="shared" si="798"/>
        <v>4500</v>
      </c>
      <c r="AR286" s="127">
        <f t="shared" si="798"/>
        <v>3466.8199999999997</v>
      </c>
      <c r="AS286" s="127">
        <f t="shared" si="798"/>
        <v>0</v>
      </c>
      <c r="AT286" s="127">
        <f t="shared" si="798"/>
        <v>0</v>
      </c>
      <c r="AU286" s="127">
        <f t="shared" si="798"/>
        <v>2275</v>
      </c>
      <c r="AV286" s="127">
        <f t="shared" si="798"/>
        <v>1725</v>
      </c>
      <c r="AW286" s="127">
        <f t="shared" si="798"/>
        <v>0</v>
      </c>
      <c r="AX286" s="127">
        <f t="shared" si="798"/>
        <v>650</v>
      </c>
      <c r="AY286" s="127">
        <f t="shared" si="798"/>
        <v>7525</v>
      </c>
      <c r="AZ286" s="127">
        <f t="shared" si="798"/>
        <v>6461.82</v>
      </c>
      <c r="BA286" s="127">
        <f t="shared" si="798"/>
        <v>13986.82</v>
      </c>
      <c r="BB286" s="127">
        <f t="shared" si="798"/>
        <v>7254.45</v>
      </c>
      <c r="BC286" s="127">
        <f t="shared" si="798"/>
        <v>6674.79</v>
      </c>
      <c r="BD286" s="127">
        <f t="shared" si="798"/>
        <v>270.55000000000018</v>
      </c>
      <c r="BE286" s="127">
        <f t="shared" si="798"/>
        <v>-212.97000000000025</v>
      </c>
      <c r="BF286" s="127">
        <f t="shared" si="798"/>
        <v>1450.89</v>
      </c>
      <c r="BG286" s="129">
        <f t="shared" si="798"/>
        <v>1334.96</v>
      </c>
      <c r="BH286" s="129">
        <f t="shared" si="798"/>
        <v>590.16999999999996</v>
      </c>
      <c r="BI286" s="129">
        <f t="shared" si="798"/>
        <v>773.97</v>
      </c>
      <c r="BJ286" s="129">
        <f t="shared" si="798"/>
        <v>500</v>
      </c>
      <c r="BK286" s="129">
        <f t="shared" si="798"/>
        <v>0</v>
      </c>
      <c r="BL286" s="129">
        <f t="shared" si="798"/>
        <v>8615.17</v>
      </c>
      <c r="BM286" s="129">
        <f t="shared" si="798"/>
        <v>7235.79</v>
      </c>
      <c r="BN286" s="129">
        <f t="shared" si="798"/>
        <v>15850.96</v>
      </c>
      <c r="BO286" s="129">
        <f t="shared" si="798"/>
        <v>8033.54</v>
      </c>
      <c r="BP286" s="129">
        <f t="shared" si="798"/>
        <v>8305.66</v>
      </c>
      <c r="BQ286" s="127">
        <f t="shared" si="798"/>
        <v>581.63000000000011</v>
      </c>
      <c r="BR286" s="127">
        <f t="shared" si="798"/>
        <v>-1069.8699999999999</v>
      </c>
      <c r="BS286" s="127">
        <f t="shared" si="798"/>
        <v>730.32</v>
      </c>
      <c r="BT286" s="127">
        <f t="shared" si="798"/>
        <v>755.06</v>
      </c>
      <c r="BU286" s="127">
        <f t="shared" si="798"/>
        <v>148.68999999999994</v>
      </c>
      <c r="BV286" s="127">
        <f t="shared" si="798"/>
        <v>0</v>
      </c>
      <c r="BW286" s="127">
        <f t="shared" si="798"/>
        <v>185.55</v>
      </c>
      <c r="BX286" s="127">
        <f t="shared" si="798"/>
        <v>0</v>
      </c>
      <c r="BY286" s="127">
        <f t="shared" si="798"/>
        <v>0</v>
      </c>
      <c r="BZ286" s="127">
        <f t="shared" si="798"/>
        <v>480.96</v>
      </c>
      <c r="CA286" s="127">
        <f t="shared" si="798"/>
        <v>8949.41</v>
      </c>
      <c r="CB286" s="127">
        <f t="shared" si="798"/>
        <v>7716.75</v>
      </c>
      <c r="CC286" s="127">
        <f t="shared" si="798"/>
        <v>9844.35</v>
      </c>
      <c r="CD286" s="127">
        <f t="shared" si="798"/>
        <v>8874.26</v>
      </c>
      <c r="CE286" s="127">
        <f t="shared" si="798"/>
        <v>820</v>
      </c>
      <c r="CF286" s="127">
        <f t="shared" si="798"/>
        <v>700</v>
      </c>
      <c r="CG286" s="127">
        <f t="shared" si="798"/>
        <v>2237.35</v>
      </c>
      <c r="CH286" s="129">
        <f t="shared" si="798"/>
        <v>1929.19</v>
      </c>
      <c r="CI286" s="127">
        <f t="shared" si="798"/>
        <v>0</v>
      </c>
      <c r="CJ286" s="127">
        <f t="shared" si="798"/>
        <v>0</v>
      </c>
      <c r="CK286" s="127">
        <f t="shared" si="798"/>
        <v>2500</v>
      </c>
      <c r="CL286" s="127">
        <f t="shared" si="798"/>
        <v>2295.42</v>
      </c>
      <c r="CM286" s="127">
        <f t="shared" si="798"/>
        <v>0</v>
      </c>
      <c r="CN286" s="127">
        <f t="shared" si="798"/>
        <v>0</v>
      </c>
      <c r="CO286" s="127">
        <f t="shared" si="798"/>
        <v>9845</v>
      </c>
      <c r="CP286" s="127">
        <f t="shared" si="798"/>
        <v>10400</v>
      </c>
      <c r="CQ286" s="127">
        <f t="shared" si="798"/>
        <v>10000</v>
      </c>
      <c r="CR286" s="127">
        <f t="shared" ref="CR286:FD286" si="799">+CR272</f>
        <v>10400</v>
      </c>
      <c r="CS286" s="127">
        <f t="shared" si="799"/>
        <v>9845</v>
      </c>
      <c r="CT286" s="127">
        <f t="shared" si="799"/>
        <v>10400</v>
      </c>
      <c r="CU286" s="127">
        <f t="shared" si="799"/>
        <v>9845</v>
      </c>
      <c r="CV286" s="127">
        <f t="shared" si="799"/>
        <v>10400</v>
      </c>
      <c r="CW286" s="127">
        <f t="shared" si="799"/>
        <v>2460.77</v>
      </c>
      <c r="CX286" s="127">
        <f t="shared" si="799"/>
        <v>2599.91</v>
      </c>
      <c r="CY286" s="127">
        <f t="shared" si="799"/>
        <v>0</v>
      </c>
      <c r="CZ286" s="127">
        <f t="shared" si="799"/>
        <v>0</v>
      </c>
      <c r="DA286" s="127">
        <f t="shared" si="799"/>
        <v>5780.77</v>
      </c>
      <c r="DB286" s="127">
        <f t="shared" si="799"/>
        <v>5595.33</v>
      </c>
      <c r="DC286" s="127">
        <f t="shared" si="799"/>
        <v>5405.05</v>
      </c>
      <c r="DD286" s="127">
        <f t="shared" si="799"/>
        <v>4090.12</v>
      </c>
      <c r="DE286" s="127">
        <f t="shared" si="799"/>
        <v>375.72000000000025</v>
      </c>
      <c r="DF286" s="127">
        <f t="shared" si="799"/>
        <v>1505.21</v>
      </c>
      <c r="DG286" s="127">
        <f t="shared" si="799"/>
        <v>2461.25</v>
      </c>
      <c r="DH286" s="127">
        <f t="shared" si="799"/>
        <v>2300</v>
      </c>
      <c r="DI286" s="127">
        <f t="shared" si="799"/>
        <v>2084.66</v>
      </c>
      <c r="DJ286" s="127">
        <f t="shared" si="799"/>
        <v>618.99</v>
      </c>
      <c r="DK286" s="127">
        <f t="shared" si="799"/>
        <v>200</v>
      </c>
      <c r="DL286" s="127">
        <f t="shared" si="799"/>
        <v>800</v>
      </c>
      <c r="DM286" s="127">
        <f t="shared" si="799"/>
        <v>8065.43</v>
      </c>
      <c r="DN286" s="127">
        <f t="shared" si="799"/>
        <v>7014.32</v>
      </c>
      <c r="DO286" s="127">
        <f t="shared" si="799"/>
        <v>7841.79</v>
      </c>
      <c r="DP286" s="127">
        <f t="shared" si="799"/>
        <v>6816.79</v>
      </c>
      <c r="DQ286" s="127">
        <f t="shared" si="799"/>
        <v>223.64</v>
      </c>
      <c r="DR286" s="127">
        <f t="shared" si="799"/>
        <v>197.53</v>
      </c>
      <c r="DS286" s="127">
        <f t="shared" si="799"/>
        <v>784.17899999999997</v>
      </c>
      <c r="DT286" s="127">
        <f t="shared" si="799"/>
        <v>681.67899999999997</v>
      </c>
      <c r="DU286" s="127">
        <f t="shared" si="799"/>
        <v>560.53899999999999</v>
      </c>
      <c r="DV286" s="127">
        <f t="shared" si="799"/>
        <v>484.149</v>
      </c>
      <c r="DW286" s="127">
        <f t="shared" si="799"/>
        <v>0</v>
      </c>
      <c r="DX286" s="127">
        <f t="shared" si="799"/>
        <v>0</v>
      </c>
      <c r="DY286" s="127">
        <f t="shared" si="799"/>
        <v>800</v>
      </c>
      <c r="DZ286" s="127">
        <f t="shared" si="799"/>
        <v>700</v>
      </c>
      <c r="EA286" s="127">
        <f t="shared" si="799"/>
        <v>0</v>
      </c>
      <c r="EB286" s="129">
        <f t="shared" si="799"/>
        <v>0</v>
      </c>
      <c r="EC286" s="127">
        <f t="shared" si="799"/>
        <v>8865.43</v>
      </c>
      <c r="ED286" s="127">
        <f t="shared" si="799"/>
        <v>7714.32</v>
      </c>
      <c r="EE286" s="127">
        <f t="shared" si="799"/>
        <v>8634.23</v>
      </c>
      <c r="EF286" s="127">
        <f t="shared" si="799"/>
        <v>7430.74</v>
      </c>
      <c r="EG286" s="127">
        <f t="shared" si="799"/>
        <v>97.39</v>
      </c>
      <c r="EH286" s="127">
        <f t="shared" si="799"/>
        <v>96.32</v>
      </c>
      <c r="EI286" s="127">
        <f t="shared" si="799"/>
        <v>231.2</v>
      </c>
      <c r="EJ286" s="127">
        <f t="shared" si="799"/>
        <v>283.58</v>
      </c>
      <c r="EK286" s="127">
        <f t="shared" si="799"/>
        <v>784.93</v>
      </c>
      <c r="EL286" s="127">
        <f t="shared" si="799"/>
        <v>675.52</v>
      </c>
      <c r="EM286" s="127">
        <f t="shared" si="799"/>
        <v>553.73</v>
      </c>
      <c r="EN286" s="127">
        <f t="shared" si="799"/>
        <v>391.94</v>
      </c>
      <c r="EO286" s="127">
        <f t="shared" si="799"/>
        <v>700</v>
      </c>
      <c r="EP286" s="127">
        <f t="shared" si="799"/>
        <v>735</v>
      </c>
      <c r="EQ286" s="139"/>
      <c r="ER286" s="81"/>
      <c r="ES286" s="81">
        <f t="shared" si="799"/>
        <v>0</v>
      </c>
      <c r="ET286" s="81">
        <f t="shared" si="799"/>
        <v>0</v>
      </c>
      <c r="EU286" s="5">
        <f t="shared" si="642"/>
        <v>279.56999999999971</v>
      </c>
      <c r="EV286" s="5">
        <f t="shared" si="642"/>
        <v>750.68000000000029</v>
      </c>
      <c r="EW286" s="81">
        <f t="shared" si="799"/>
        <v>9845</v>
      </c>
      <c r="EX286" s="81">
        <f t="shared" si="799"/>
        <v>9200</v>
      </c>
      <c r="EY286" s="81">
        <f t="shared" si="799"/>
        <v>10800</v>
      </c>
      <c r="EZ286" s="81">
        <f t="shared" si="799"/>
        <v>8000</v>
      </c>
      <c r="FA286" s="81">
        <f t="shared" si="799"/>
        <v>0</v>
      </c>
      <c r="FB286" s="81">
        <f t="shared" si="799"/>
        <v>0</v>
      </c>
      <c r="FC286" s="81">
        <f t="shared" si="799"/>
        <v>0</v>
      </c>
      <c r="FD286" s="81">
        <f t="shared" si="799"/>
        <v>0</v>
      </c>
    </row>
    <row r="287" spans="1:160" ht="37.5" x14ac:dyDescent="0.25">
      <c r="A287" s="68">
        <v>12</v>
      </c>
      <c r="B287" s="68" t="s">
        <v>569</v>
      </c>
      <c r="C287" s="91" t="s">
        <v>122</v>
      </c>
      <c r="D287" s="67" t="s">
        <v>570</v>
      </c>
      <c r="E287" s="69" t="s">
        <v>571</v>
      </c>
      <c r="F287" s="40">
        <v>0</v>
      </c>
      <c r="G287" s="40">
        <v>0</v>
      </c>
      <c r="H287" s="40">
        <v>0</v>
      </c>
      <c r="I287" s="70">
        <v>0</v>
      </c>
      <c r="J287" s="71">
        <v>0</v>
      </c>
      <c r="K287" s="41"/>
      <c r="L287" s="41"/>
      <c r="M287" s="71">
        <f t="shared" ref="M287:M289" si="800">+L287+K287+J287</f>
        <v>0</v>
      </c>
      <c r="N287" s="41"/>
      <c r="O287" s="41"/>
      <c r="P287" s="41"/>
      <c r="Q287" s="71">
        <f t="shared" ref="Q287" si="801">+P287+O287+N287</f>
        <v>0</v>
      </c>
      <c r="R287" s="41">
        <f>+Q287+M287</f>
        <v>0</v>
      </c>
      <c r="S287" s="41"/>
      <c r="T287" s="92"/>
      <c r="U287" s="92"/>
      <c r="V287" s="70">
        <f t="shared" ref="V287" si="802">ROUND(H287*1.0583,2)</f>
        <v>0</v>
      </c>
      <c r="W287" s="40">
        <f t="shared" ref="W287" si="803">ROUND(I287*1.0327,2)</f>
        <v>0</v>
      </c>
      <c r="X287" s="43">
        <f t="shared" si="716"/>
        <v>0</v>
      </c>
      <c r="Y287" s="43">
        <f t="shared" si="716"/>
        <v>0</v>
      </c>
      <c r="Z287" s="43">
        <v>0</v>
      </c>
      <c r="AA287" s="43">
        <v>0</v>
      </c>
      <c r="AB287" s="43">
        <f t="shared" si="742"/>
        <v>0</v>
      </c>
      <c r="AC287" s="43">
        <f t="shared" si="743"/>
        <v>0</v>
      </c>
      <c r="AD287" s="43"/>
      <c r="AE287" s="43"/>
      <c r="AF287" s="43">
        <f t="shared" si="718"/>
        <v>0</v>
      </c>
      <c r="AG287" s="43">
        <f t="shared" si="719"/>
        <v>0</v>
      </c>
      <c r="AH287" s="43">
        <f t="shared" si="719"/>
        <v>0</v>
      </c>
      <c r="AI287" s="93">
        <f t="shared" si="720"/>
        <v>0</v>
      </c>
      <c r="AJ287" s="43">
        <f t="shared" si="720"/>
        <v>0</v>
      </c>
      <c r="AK287" s="43"/>
      <c r="AL287" s="43"/>
      <c r="AM287" s="43">
        <f t="shared" si="721"/>
        <v>0</v>
      </c>
      <c r="AN287" s="43">
        <f t="shared" si="722"/>
        <v>0</v>
      </c>
      <c r="AO287" s="43"/>
      <c r="AP287" s="43"/>
      <c r="AQ287" s="43">
        <f t="shared" si="723"/>
        <v>0</v>
      </c>
      <c r="AR287" s="43">
        <f t="shared" si="723"/>
        <v>0</v>
      </c>
      <c r="AS287" s="43"/>
      <c r="AT287" s="43"/>
      <c r="AU287" s="43">
        <f t="shared" ref="AU287:AV309" si="804">ROUND(AD287*25%,2)</f>
        <v>0</v>
      </c>
      <c r="AV287" s="43">
        <f>ROUND(AE287*25%,2)</f>
        <v>0</v>
      </c>
      <c r="AW287" s="43"/>
      <c r="AX287" s="43"/>
      <c r="AY287" s="43">
        <f t="shared" si="724"/>
        <v>0</v>
      </c>
      <c r="AZ287" s="43">
        <f t="shared" si="724"/>
        <v>0</v>
      </c>
      <c r="BA287" s="43">
        <f t="shared" si="725"/>
        <v>0</v>
      </c>
      <c r="BB287" s="60"/>
      <c r="BC287" s="60"/>
      <c r="BD287" s="60">
        <f t="shared" si="726"/>
        <v>0</v>
      </c>
      <c r="BE287" s="60">
        <f t="shared" si="726"/>
        <v>0</v>
      </c>
      <c r="BF287" s="60">
        <f t="shared" si="727"/>
        <v>0</v>
      </c>
      <c r="BG287" s="60">
        <f t="shared" si="727"/>
        <v>0</v>
      </c>
      <c r="BH287" s="43">
        <v>0</v>
      </c>
      <c r="BI287" s="43">
        <v>0</v>
      </c>
      <c r="BJ287" s="43"/>
      <c r="BK287" s="43"/>
      <c r="BL287" s="43">
        <f t="shared" si="739"/>
        <v>0</v>
      </c>
      <c r="BM287" s="43">
        <f t="shared" si="739"/>
        <v>0</v>
      </c>
      <c r="BN287" s="43">
        <f t="shared" si="751"/>
        <v>0</v>
      </c>
      <c r="BO287" s="43"/>
      <c r="BP287" s="93"/>
      <c r="BQ287" s="43">
        <f t="shared" si="752"/>
        <v>0</v>
      </c>
      <c r="BR287" s="43">
        <f t="shared" si="752"/>
        <v>0</v>
      </c>
      <c r="BS287" s="43">
        <f t="shared" si="753"/>
        <v>0</v>
      </c>
      <c r="BT287" s="43">
        <f t="shared" si="753"/>
        <v>0</v>
      </c>
      <c r="BU287" s="43">
        <f t="shared" si="779"/>
        <v>0</v>
      </c>
      <c r="BV287" s="43">
        <v>0</v>
      </c>
      <c r="BW287" s="43"/>
      <c r="BX287" s="43"/>
      <c r="BY287" s="43"/>
      <c r="BZ287" s="43"/>
      <c r="CA287" s="43">
        <v>0</v>
      </c>
      <c r="CB287" s="43">
        <v>0</v>
      </c>
      <c r="CC287" s="92">
        <v>0</v>
      </c>
      <c r="CD287" s="92">
        <v>0</v>
      </c>
      <c r="CE287" s="92">
        <v>0</v>
      </c>
      <c r="CF287" s="92">
        <v>0</v>
      </c>
      <c r="CG287" s="92">
        <f t="shared" si="754"/>
        <v>0</v>
      </c>
      <c r="CH287" s="92">
        <f t="shared" si="754"/>
        <v>0</v>
      </c>
      <c r="CI287" s="43"/>
      <c r="CJ287" s="43"/>
      <c r="CK287" s="43">
        <v>0</v>
      </c>
      <c r="CL287" s="43">
        <v>0</v>
      </c>
      <c r="CM287" s="43"/>
      <c r="CN287" s="43"/>
      <c r="CO287" s="43"/>
      <c r="CP287" s="43"/>
      <c r="CQ287" s="43">
        <f t="shared" si="755"/>
        <v>0</v>
      </c>
      <c r="CR287" s="43">
        <f t="shared" si="755"/>
        <v>0</v>
      </c>
      <c r="CS287" s="43">
        <f t="shared" si="756"/>
        <v>0</v>
      </c>
      <c r="CT287" s="43">
        <f t="shared" si="756"/>
        <v>0</v>
      </c>
      <c r="CU287" s="43"/>
      <c r="CV287" s="43"/>
      <c r="CW287" s="43">
        <f t="shared" si="757"/>
        <v>0</v>
      </c>
      <c r="CX287" s="43">
        <f t="shared" si="757"/>
        <v>0</v>
      </c>
      <c r="CY287" s="43"/>
      <c r="CZ287" s="43"/>
      <c r="DA287" s="43">
        <f t="shared" si="758"/>
        <v>0</v>
      </c>
      <c r="DB287" s="43">
        <f t="shared" si="758"/>
        <v>0</v>
      </c>
      <c r="DC287" s="43"/>
      <c r="DD287" s="43"/>
      <c r="DE287" s="43">
        <f t="shared" si="759"/>
        <v>0</v>
      </c>
      <c r="DF287" s="43">
        <f t="shared" si="759"/>
        <v>0</v>
      </c>
      <c r="DG287" s="43">
        <f>ROUND(0.25*(MIN(CU287,EW287)),2)</f>
        <v>0</v>
      </c>
      <c r="DH287" s="43">
        <f>ROUND(0.25*(MIN(CV287,EX287)),2)</f>
        <v>0</v>
      </c>
      <c r="DI287" s="43">
        <f>+DG287-DE287</f>
        <v>0</v>
      </c>
      <c r="DJ287" s="43">
        <f>+DH287-DF287</f>
        <v>0</v>
      </c>
      <c r="DK287" s="43"/>
      <c r="DL287" s="43"/>
      <c r="DM287" s="43">
        <f t="shared" si="760"/>
        <v>0</v>
      </c>
      <c r="DN287" s="43">
        <f t="shared" si="760"/>
        <v>0</v>
      </c>
      <c r="DO287" s="94">
        <v>0</v>
      </c>
      <c r="DP287" s="94">
        <v>0</v>
      </c>
      <c r="DQ287" s="60">
        <f t="shared" si="761"/>
        <v>0</v>
      </c>
      <c r="DR287" s="60">
        <f t="shared" si="761"/>
        <v>0</v>
      </c>
      <c r="DS287" s="60">
        <f t="shared" si="762"/>
        <v>0</v>
      </c>
      <c r="DT287" s="60">
        <f t="shared" si="762"/>
        <v>0</v>
      </c>
      <c r="DU287" s="60">
        <f t="shared" si="763"/>
        <v>0</v>
      </c>
      <c r="DV287" s="60">
        <f t="shared" si="763"/>
        <v>0</v>
      </c>
      <c r="DW287" s="60"/>
      <c r="DX287" s="60"/>
      <c r="DY287" s="60">
        <f t="shared" si="701"/>
        <v>0</v>
      </c>
      <c r="DZ287" s="60">
        <f t="shared" si="701"/>
        <v>0</v>
      </c>
      <c r="EA287" s="60"/>
      <c r="EB287" s="60"/>
      <c r="EC287" s="43">
        <f t="shared" si="764"/>
        <v>0</v>
      </c>
      <c r="ED287" s="43">
        <f t="shared" si="764"/>
        <v>0</v>
      </c>
      <c r="EE287" s="43"/>
      <c r="EF287" s="43"/>
      <c r="EG287" s="43" t="e">
        <f t="shared" si="795"/>
        <v>#DIV/0!</v>
      </c>
      <c r="EH287" s="43" t="e">
        <f t="shared" si="795"/>
        <v>#DIV/0!</v>
      </c>
      <c r="EI287" s="43">
        <f t="shared" si="765"/>
        <v>0</v>
      </c>
      <c r="EJ287" s="43">
        <f t="shared" si="765"/>
        <v>0</v>
      </c>
      <c r="EK287" s="43">
        <f t="shared" si="766"/>
        <v>0</v>
      </c>
      <c r="EL287" s="43">
        <f t="shared" si="766"/>
        <v>0</v>
      </c>
      <c r="EM287" s="43">
        <f t="shared" si="767"/>
        <v>0</v>
      </c>
      <c r="EN287" s="43">
        <f t="shared" si="767"/>
        <v>0</v>
      </c>
      <c r="EO287" s="43">
        <v>0</v>
      </c>
      <c r="EP287" s="43">
        <v>0</v>
      </c>
      <c r="EQ287" s="5"/>
      <c r="ER287" s="5"/>
      <c r="ES287" s="5"/>
      <c r="ET287" s="5"/>
      <c r="EU287" s="5">
        <f t="shared" si="642"/>
        <v>0</v>
      </c>
      <c r="EV287" s="5">
        <f t="shared" si="642"/>
        <v>0</v>
      </c>
    </row>
    <row r="288" spans="1:160" ht="37.5" x14ac:dyDescent="0.25">
      <c r="A288" s="68"/>
      <c r="B288" s="68"/>
      <c r="C288" s="91"/>
      <c r="D288" s="67" t="s">
        <v>572</v>
      </c>
      <c r="E288" s="69" t="s">
        <v>573</v>
      </c>
      <c r="F288" s="40">
        <v>8182.66</v>
      </c>
      <c r="G288" s="40">
        <v>5831.45</v>
      </c>
      <c r="H288" s="40">
        <v>8532.66</v>
      </c>
      <c r="I288" s="40">
        <v>5831.45</v>
      </c>
      <c r="J288" s="41">
        <f t="shared" ref="J288:AA288" si="805">+J286+J287</f>
        <v>9000</v>
      </c>
      <c r="K288" s="41">
        <f t="shared" si="805"/>
        <v>0</v>
      </c>
      <c r="L288" s="41">
        <f t="shared" si="805"/>
        <v>0</v>
      </c>
      <c r="M288" s="41">
        <f t="shared" si="805"/>
        <v>9000</v>
      </c>
      <c r="N288" s="41">
        <f t="shared" si="805"/>
        <v>0</v>
      </c>
      <c r="O288" s="41">
        <f t="shared" si="805"/>
        <v>0</v>
      </c>
      <c r="P288" s="41">
        <f t="shared" si="805"/>
        <v>0</v>
      </c>
      <c r="Q288" s="41">
        <f t="shared" si="805"/>
        <v>0</v>
      </c>
      <c r="R288" s="41">
        <f t="shared" si="805"/>
        <v>9000</v>
      </c>
      <c r="S288" s="41">
        <f t="shared" si="805"/>
        <v>6200</v>
      </c>
      <c r="T288" s="41">
        <f t="shared" si="805"/>
        <v>0</v>
      </c>
      <c r="U288" s="41">
        <f t="shared" si="805"/>
        <v>0</v>
      </c>
      <c r="V288" s="41">
        <f t="shared" si="805"/>
        <v>9018.7099999999991</v>
      </c>
      <c r="W288" s="41">
        <f t="shared" si="805"/>
        <v>6025.9500000000007</v>
      </c>
      <c r="X288" s="41">
        <f t="shared" si="805"/>
        <v>-18.709999999999127</v>
      </c>
      <c r="Y288" s="41">
        <f t="shared" si="805"/>
        <v>174.04999999999927</v>
      </c>
      <c r="Z288" s="41">
        <f t="shared" si="805"/>
        <v>9100</v>
      </c>
      <c r="AA288" s="41">
        <f t="shared" si="805"/>
        <v>0</v>
      </c>
      <c r="AB288" s="40">
        <f t="shared" si="742"/>
        <v>9100</v>
      </c>
      <c r="AC288" s="43">
        <f t="shared" si="743"/>
        <v>0</v>
      </c>
      <c r="AD288" s="40">
        <f t="shared" ref="AD288:BY288" si="806">+AD286+AD287</f>
        <v>9100</v>
      </c>
      <c r="AE288" s="40">
        <f t="shared" si="806"/>
        <v>6900</v>
      </c>
      <c r="AF288" s="40">
        <f t="shared" si="806"/>
        <v>6093.64</v>
      </c>
      <c r="AG288" s="40">
        <f t="shared" si="806"/>
        <v>2250</v>
      </c>
      <c r="AH288" s="40">
        <f t="shared" si="806"/>
        <v>1756</v>
      </c>
      <c r="AI288" s="102">
        <f t="shared" si="806"/>
        <v>750</v>
      </c>
      <c r="AJ288" s="40">
        <f t="shared" si="806"/>
        <v>620</v>
      </c>
      <c r="AK288" s="40">
        <f t="shared" si="806"/>
        <v>0</v>
      </c>
      <c r="AL288" s="40">
        <f t="shared" si="806"/>
        <v>0</v>
      </c>
      <c r="AM288" s="40">
        <f t="shared" si="806"/>
        <v>2250</v>
      </c>
      <c r="AN288" s="40">
        <f t="shared" si="806"/>
        <v>1710.82</v>
      </c>
      <c r="AO288" s="40">
        <f t="shared" si="806"/>
        <v>0</v>
      </c>
      <c r="AP288" s="40">
        <f t="shared" si="806"/>
        <v>0</v>
      </c>
      <c r="AQ288" s="40">
        <f t="shared" si="806"/>
        <v>4500</v>
      </c>
      <c r="AR288" s="40">
        <f t="shared" si="806"/>
        <v>3466.8199999999997</v>
      </c>
      <c r="AS288" s="40">
        <f t="shared" si="806"/>
        <v>0</v>
      </c>
      <c r="AT288" s="40">
        <f t="shared" si="806"/>
        <v>0</v>
      </c>
      <c r="AU288" s="40">
        <f t="shared" si="806"/>
        <v>2275</v>
      </c>
      <c r="AV288" s="40">
        <f t="shared" si="806"/>
        <v>1725</v>
      </c>
      <c r="AW288" s="40">
        <f t="shared" si="806"/>
        <v>0</v>
      </c>
      <c r="AX288" s="40">
        <f t="shared" si="806"/>
        <v>650</v>
      </c>
      <c r="AY288" s="40">
        <f t="shared" si="806"/>
        <v>7525</v>
      </c>
      <c r="AZ288" s="40">
        <f t="shared" si="806"/>
        <v>6461.82</v>
      </c>
      <c r="BA288" s="40">
        <f t="shared" si="806"/>
        <v>13986.82</v>
      </c>
      <c r="BB288" s="40">
        <f t="shared" si="806"/>
        <v>7254.45</v>
      </c>
      <c r="BC288" s="40">
        <f t="shared" si="806"/>
        <v>6674.79</v>
      </c>
      <c r="BD288" s="40">
        <f t="shared" si="806"/>
        <v>270.55000000000018</v>
      </c>
      <c r="BE288" s="40">
        <f t="shared" si="806"/>
        <v>-212.97000000000025</v>
      </c>
      <c r="BF288" s="40">
        <f t="shared" si="806"/>
        <v>1450.89</v>
      </c>
      <c r="BG288" s="102">
        <f t="shared" si="806"/>
        <v>1334.96</v>
      </c>
      <c r="BH288" s="102">
        <f t="shared" si="806"/>
        <v>590.16999999999996</v>
      </c>
      <c r="BI288" s="102">
        <f t="shared" si="806"/>
        <v>773.97</v>
      </c>
      <c r="BJ288" s="102">
        <f t="shared" si="806"/>
        <v>500</v>
      </c>
      <c r="BK288" s="102">
        <f t="shared" si="806"/>
        <v>0</v>
      </c>
      <c r="BL288" s="102">
        <f t="shared" si="806"/>
        <v>8615.17</v>
      </c>
      <c r="BM288" s="102">
        <f t="shared" si="806"/>
        <v>7235.79</v>
      </c>
      <c r="BN288" s="102">
        <f t="shared" si="806"/>
        <v>15850.96</v>
      </c>
      <c r="BO288" s="102">
        <f t="shared" si="806"/>
        <v>8033.54</v>
      </c>
      <c r="BP288" s="102">
        <f t="shared" si="806"/>
        <v>8305.66</v>
      </c>
      <c r="BQ288" s="40">
        <f t="shared" si="806"/>
        <v>581.63000000000011</v>
      </c>
      <c r="BR288" s="40">
        <f t="shared" si="806"/>
        <v>-1069.8699999999999</v>
      </c>
      <c r="BS288" s="40">
        <f t="shared" si="806"/>
        <v>730.32</v>
      </c>
      <c r="BT288" s="40">
        <f t="shared" si="806"/>
        <v>755.06</v>
      </c>
      <c r="BU288" s="40">
        <f t="shared" si="806"/>
        <v>148.68999999999994</v>
      </c>
      <c r="BV288" s="40">
        <f t="shared" si="806"/>
        <v>0</v>
      </c>
      <c r="BW288" s="40">
        <f t="shared" si="806"/>
        <v>185.55</v>
      </c>
      <c r="BX288" s="40">
        <f t="shared" si="806"/>
        <v>0</v>
      </c>
      <c r="BY288" s="40">
        <f t="shared" si="806"/>
        <v>0</v>
      </c>
      <c r="BZ288" s="40">
        <f>+BZ286+BZ287</f>
        <v>480.96</v>
      </c>
      <c r="CA288" s="40">
        <f t="shared" ref="CA288:EL288" si="807">+CA286+CA287</f>
        <v>8949.41</v>
      </c>
      <c r="CB288" s="40">
        <f t="shared" si="807"/>
        <v>7716.75</v>
      </c>
      <c r="CC288" s="40">
        <f t="shared" si="807"/>
        <v>9844.35</v>
      </c>
      <c r="CD288" s="40">
        <f t="shared" si="807"/>
        <v>8874.26</v>
      </c>
      <c r="CE288" s="40">
        <f t="shared" si="807"/>
        <v>820</v>
      </c>
      <c r="CF288" s="40">
        <f t="shared" si="807"/>
        <v>700</v>
      </c>
      <c r="CG288" s="40">
        <f t="shared" si="807"/>
        <v>2237.35</v>
      </c>
      <c r="CH288" s="102">
        <f t="shared" si="807"/>
        <v>1929.19</v>
      </c>
      <c r="CI288" s="40">
        <f t="shared" si="807"/>
        <v>0</v>
      </c>
      <c r="CJ288" s="40">
        <f t="shared" si="807"/>
        <v>0</v>
      </c>
      <c r="CK288" s="40">
        <f t="shared" si="807"/>
        <v>2500</v>
      </c>
      <c r="CL288" s="40">
        <f t="shared" si="807"/>
        <v>2295.42</v>
      </c>
      <c r="CM288" s="40">
        <f t="shared" si="807"/>
        <v>0</v>
      </c>
      <c r="CN288" s="40">
        <f t="shared" si="807"/>
        <v>0</v>
      </c>
      <c r="CO288" s="40">
        <f t="shared" si="807"/>
        <v>9845</v>
      </c>
      <c r="CP288" s="40">
        <f t="shared" si="807"/>
        <v>10400</v>
      </c>
      <c r="CQ288" s="40">
        <f t="shared" si="807"/>
        <v>10000</v>
      </c>
      <c r="CR288" s="40">
        <f t="shared" si="807"/>
        <v>10400</v>
      </c>
      <c r="CS288" s="40">
        <f t="shared" si="807"/>
        <v>9845</v>
      </c>
      <c r="CT288" s="40">
        <f t="shared" si="807"/>
        <v>10400</v>
      </c>
      <c r="CU288" s="40">
        <f t="shared" si="807"/>
        <v>9845</v>
      </c>
      <c r="CV288" s="40">
        <f t="shared" si="807"/>
        <v>10400</v>
      </c>
      <c r="CW288" s="40">
        <f t="shared" si="807"/>
        <v>2460.77</v>
      </c>
      <c r="CX288" s="40">
        <f t="shared" si="807"/>
        <v>2599.91</v>
      </c>
      <c r="CY288" s="40">
        <f t="shared" si="807"/>
        <v>0</v>
      </c>
      <c r="CZ288" s="40">
        <f t="shared" si="807"/>
        <v>0</v>
      </c>
      <c r="DA288" s="40">
        <f t="shared" si="807"/>
        <v>5780.77</v>
      </c>
      <c r="DB288" s="40">
        <f t="shared" si="807"/>
        <v>5595.33</v>
      </c>
      <c r="DC288" s="40">
        <f t="shared" si="807"/>
        <v>5405.05</v>
      </c>
      <c r="DD288" s="40">
        <f t="shared" si="807"/>
        <v>4090.12</v>
      </c>
      <c r="DE288" s="40">
        <f t="shared" si="807"/>
        <v>375.72000000000025</v>
      </c>
      <c r="DF288" s="40">
        <f t="shared" si="807"/>
        <v>1505.21</v>
      </c>
      <c r="DG288" s="40">
        <f t="shared" si="807"/>
        <v>2461.25</v>
      </c>
      <c r="DH288" s="40">
        <f t="shared" si="807"/>
        <v>2300</v>
      </c>
      <c r="DI288" s="40">
        <f t="shared" si="807"/>
        <v>2084.66</v>
      </c>
      <c r="DJ288" s="40">
        <f t="shared" si="807"/>
        <v>618.99</v>
      </c>
      <c r="DK288" s="40">
        <f t="shared" si="807"/>
        <v>200</v>
      </c>
      <c r="DL288" s="40">
        <f t="shared" si="807"/>
        <v>800</v>
      </c>
      <c r="DM288" s="40">
        <f t="shared" si="807"/>
        <v>8065.43</v>
      </c>
      <c r="DN288" s="40">
        <f t="shared" si="807"/>
        <v>7014.32</v>
      </c>
      <c r="DO288" s="40">
        <f t="shared" si="807"/>
        <v>7841.79</v>
      </c>
      <c r="DP288" s="40">
        <f t="shared" si="807"/>
        <v>6816.79</v>
      </c>
      <c r="DQ288" s="40">
        <f t="shared" si="807"/>
        <v>223.64</v>
      </c>
      <c r="DR288" s="40">
        <f t="shared" si="807"/>
        <v>197.53</v>
      </c>
      <c r="DS288" s="40">
        <f t="shared" si="807"/>
        <v>784.17899999999997</v>
      </c>
      <c r="DT288" s="40">
        <f t="shared" si="807"/>
        <v>681.67899999999997</v>
      </c>
      <c r="DU288" s="40">
        <f t="shared" si="807"/>
        <v>560.53899999999999</v>
      </c>
      <c r="DV288" s="40">
        <f t="shared" si="807"/>
        <v>484.149</v>
      </c>
      <c r="DW288" s="40">
        <f t="shared" si="807"/>
        <v>0</v>
      </c>
      <c r="DX288" s="40">
        <f t="shared" si="807"/>
        <v>0</v>
      </c>
      <c r="DY288" s="40">
        <f t="shared" si="807"/>
        <v>800</v>
      </c>
      <c r="DZ288" s="40">
        <f t="shared" si="807"/>
        <v>700</v>
      </c>
      <c r="EA288" s="40">
        <f t="shared" si="807"/>
        <v>0</v>
      </c>
      <c r="EB288" s="102">
        <f t="shared" si="807"/>
        <v>0</v>
      </c>
      <c r="EC288" s="40">
        <f t="shared" si="807"/>
        <v>8865.43</v>
      </c>
      <c r="ED288" s="40">
        <f t="shared" si="807"/>
        <v>7714.32</v>
      </c>
      <c r="EE288" s="40">
        <f t="shared" si="807"/>
        <v>8634.23</v>
      </c>
      <c r="EF288" s="40">
        <f t="shared" si="807"/>
        <v>7430.74</v>
      </c>
      <c r="EG288" s="40" t="e">
        <f t="shared" si="807"/>
        <v>#DIV/0!</v>
      </c>
      <c r="EH288" s="40" t="e">
        <f t="shared" si="807"/>
        <v>#DIV/0!</v>
      </c>
      <c r="EI288" s="40">
        <f t="shared" si="807"/>
        <v>231.2</v>
      </c>
      <c r="EJ288" s="40">
        <f t="shared" si="807"/>
        <v>283.58</v>
      </c>
      <c r="EK288" s="40">
        <f t="shared" si="807"/>
        <v>784.93</v>
      </c>
      <c r="EL288" s="40">
        <f t="shared" si="807"/>
        <v>675.52</v>
      </c>
      <c r="EM288" s="40">
        <f t="shared" ref="EM288:FC288" si="808">+EM286+EM287</f>
        <v>553.73</v>
      </c>
      <c r="EN288" s="40">
        <f t="shared" si="808"/>
        <v>391.94</v>
      </c>
      <c r="EO288" s="40">
        <f t="shared" si="808"/>
        <v>700</v>
      </c>
      <c r="EP288" s="40">
        <f t="shared" si="808"/>
        <v>735</v>
      </c>
      <c r="EQ288" s="75">
        <f t="shared" si="808"/>
        <v>0</v>
      </c>
      <c r="ER288" s="64">
        <f t="shared" si="808"/>
        <v>0</v>
      </c>
      <c r="ES288" s="64">
        <f t="shared" si="808"/>
        <v>0</v>
      </c>
      <c r="ET288" s="64">
        <f t="shared" si="808"/>
        <v>0</v>
      </c>
      <c r="EU288" s="5">
        <f t="shared" si="642"/>
        <v>279.56999999999971</v>
      </c>
      <c r="EV288" s="5">
        <f t="shared" si="642"/>
        <v>750.68000000000029</v>
      </c>
      <c r="EW288" s="64">
        <f t="shared" si="808"/>
        <v>9845</v>
      </c>
      <c r="EX288" s="64">
        <f t="shared" si="808"/>
        <v>9200</v>
      </c>
      <c r="EY288" s="64">
        <f t="shared" si="808"/>
        <v>10800</v>
      </c>
      <c r="EZ288" s="64">
        <f t="shared" si="808"/>
        <v>8000</v>
      </c>
      <c r="FA288" s="64">
        <f t="shared" si="808"/>
        <v>0</v>
      </c>
      <c r="FB288" s="64">
        <f t="shared" si="808"/>
        <v>0</v>
      </c>
      <c r="FC288" s="64">
        <f t="shared" si="808"/>
        <v>0</v>
      </c>
    </row>
    <row r="289" spans="1:160" ht="18.75" x14ac:dyDescent="0.25">
      <c r="A289" s="37">
        <v>1</v>
      </c>
      <c r="B289" s="68" t="s">
        <v>574</v>
      </c>
      <c r="C289" s="91" t="s">
        <v>122</v>
      </c>
      <c r="D289" s="38" t="s">
        <v>575</v>
      </c>
      <c r="E289" s="130" t="s">
        <v>576</v>
      </c>
      <c r="F289" s="40">
        <v>45.31</v>
      </c>
      <c r="G289" s="40">
        <v>0</v>
      </c>
      <c r="H289" s="40">
        <v>45.31</v>
      </c>
      <c r="I289" s="40">
        <v>0</v>
      </c>
      <c r="J289" s="41">
        <v>100</v>
      </c>
      <c r="K289" s="41"/>
      <c r="L289" s="41"/>
      <c r="M289" s="71">
        <f t="shared" si="800"/>
        <v>100</v>
      </c>
      <c r="N289" s="41"/>
      <c r="O289" s="41"/>
      <c r="P289" s="41"/>
      <c r="Q289" s="71">
        <f t="shared" ref="Q289" si="809">+P289+O289+N289</f>
        <v>0</v>
      </c>
      <c r="R289" s="41">
        <f>+Q289+M289</f>
        <v>100</v>
      </c>
      <c r="S289" s="41"/>
      <c r="T289" s="92"/>
      <c r="U289" s="92"/>
      <c r="V289" s="40">
        <f t="shared" ref="V289" si="810">ROUND(H289*1.0583,2)</f>
        <v>47.95</v>
      </c>
      <c r="W289" s="40">
        <f t="shared" ref="W289" si="811">ROUND(I289*1.0327,2)</f>
        <v>0</v>
      </c>
      <c r="X289" s="43">
        <f t="shared" si="716"/>
        <v>52.05</v>
      </c>
      <c r="Y289" s="43">
        <f t="shared" si="716"/>
        <v>0</v>
      </c>
      <c r="Z289" s="43">
        <v>47.95</v>
      </c>
      <c r="AA289" s="43"/>
      <c r="AB289" s="43">
        <f t="shared" si="742"/>
        <v>47.95</v>
      </c>
      <c r="AC289" s="43">
        <f t="shared" si="743"/>
        <v>0</v>
      </c>
      <c r="AD289" s="43">
        <f t="shared" ref="AD289:AE289" si="812">IF(X289&gt;0,V289,R289)</f>
        <v>47.95</v>
      </c>
      <c r="AE289" s="43">
        <f t="shared" si="812"/>
        <v>0</v>
      </c>
      <c r="AF289" s="43">
        <f t="shared" si="718"/>
        <v>0</v>
      </c>
      <c r="AG289" s="43">
        <f t="shared" si="719"/>
        <v>12</v>
      </c>
      <c r="AH289" s="43">
        <f t="shared" si="719"/>
        <v>0</v>
      </c>
      <c r="AI289" s="93">
        <f t="shared" si="720"/>
        <v>4</v>
      </c>
      <c r="AJ289" s="43">
        <f t="shared" si="720"/>
        <v>0</v>
      </c>
      <c r="AK289" s="43"/>
      <c r="AL289" s="43"/>
      <c r="AM289" s="43">
        <f t="shared" si="721"/>
        <v>11.99</v>
      </c>
      <c r="AN289" s="43">
        <f t="shared" si="722"/>
        <v>0</v>
      </c>
      <c r="AO289" s="43"/>
      <c r="AP289" s="43"/>
      <c r="AQ289" s="43">
        <f t="shared" si="723"/>
        <v>23.990000000000002</v>
      </c>
      <c r="AR289" s="43">
        <f t="shared" si="723"/>
        <v>0</v>
      </c>
      <c r="AS289" s="43"/>
      <c r="AT289" s="43"/>
      <c r="AU289" s="43">
        <f t="shared" si="804"/>
        <v>11.99</v>
      </c>
      <c r="AV289" s="43">
        <f t="shared" si="804"/>
        <v>0</v>
      </c>
      <c r="AW289" s="43"/>
      <c r="AX289" s="43"/>
      <c r="AY289" s="43">
        <f t="shared" si="724"/>
        <v>39.980000000000004</v>
      </c>
      <c r="AZ289" s="43">
        <f t="shared" si="724"/>
        <v>0</v>
      </c>
      <c r="BA289" s="43">
        <f t="shared" si="725"/>
        <v>39.980000000000004</v>
      </c>
      <c r="BB289" s="60">
        <v>31.67</v>
      </c>
      <c r="BC289" s="60"/>
      <c r="BD289" s="60">
        <f t="shared" si="726"/>
        <v>8.3100000000000023</v>
      </c>
      <c r="BE289" s="60">
        <f t="shared" si="726"/>
        <v>0</v>
      </c>
      <c r="BF289" s="60">
        <f t="shared" si="727"/>
        <v>6.33</v>
      </c>
      <c r="BG289" s="60">
        <f t="shared" si="727"/>
        <v>0</v>
      </c>
      <c r="BH289" s="43">
        <v>0</v>
      </c>
      <c r="BI289" s="43">
        <v>0</v>
      </c>
      <c r="BJ289" s="43"/>
      <c r="BK289" s="43"/>
      <c r="BL289" s="43">
        <f t="shared" si="739"/>
        <v>39.980000000000004</v>
      </c>
      <c r="BM289" s="43">
        <f t="shared" si="739"/>
        <v>0</v>
      </c>
      <c r="BN289" s="43">
        <f t="shared" si="751"/>
        <v>39.980000000000004</v>
      </c>
      <c r="BO289" s="43">
        <v>35.020000000000003</v>
      </c>
      <c r="BP289" s="93"/>
      <c r="BQ289" s="43">
        <f t="shared" si="752"/>
        <v>4.9600000000000009</v>
      </c>
      <c r="BR289" s="43">
        <f t="shared" si="752"/>
        <v>0</v>
      </c>
      <c r="BS289" s="43">
        <f t="shared" si="753"/>
        <v>3.18</v>
      </c>
      <c r="BT289" s="43">
        <f t="shared" si="753"/>
        <v>0</v>
      </c>
      <c r="BU289" s="43">
        <v>2.42</v>
      </c>
      <c r="BV289" s="43">
        <v>0</v>
      </c>
      <c r="BW289" s="43"/>
      <c r="BX289" s="43"/>
      <c r="BY289" s="43"/>
      <c r="BZ289" s="43"/>
      <c r="CA289" s="43">
        <v>42.400000000000006</v>
      </c>
      <c r="CB289" s="43">
        <v>0</v>
      </c>
      <c r="CC289" s="92">
        <v>46.64</v>
      </c>
      <c r="CD289" s="92">
        <v>0</v>
      </c>
      <c r="CE289" s="92">
        <v>4</v>
      </c>
      <c r="CF289" s="92">
        <v>0</v>
      </c>
      <c r="CG289" s="92">
        <f t="shared" si="754"/>
        <v>10.6</v>
      </c>
      <c r="CH289" s="92">
        <f t="shared" si="754"/>
        <v>0</v>
      </c>
      <c r="CI289" s="43"/>
      <c r="CJ289" s="43"/>
      <c r="CK289" s="43">
        <v>12</v>
      </c>
      <c r="CL289" s="43">
        <v>0</v>
      </c>
      <c r="CM289" s="43"/>
      <c r="CN289" s="43"/>
      <c r="CO289" s="43"/>
      <c r="CP289" s="43"/>
      <c r="CQ289" s="43">
        <f t="shared" si="755"/>
        <v>48</v>
      </c>
      <c r="CR289" s="43">
        <f t="shared" si="755"/>
        <v>0</v>
      </c>
      <c r="CS289" s="43">
        <v>48</v>
      </c>
      <c r="CT289" s="43">
        <f t="shared" si="756"/>
        <v>0</v>
      </c>
      <c r="CU289" s="43">
        <v>48</v>
      </c>
      <c r="CV289" s="43">
        <v>0</v>
      </c>
      <c r="CW289" s="43">
        <f t="shared" si="757"/>
        <v>12</v>
      </c>
      <c r="CX289" s="43">
        <f t="shared" si="757"/>
        <v>0</v>
      </c>
      <c r="CY289" s="43"/>
      <c r="CZ289" s="43"/>
      <c r="DA289" s="43">
        <f t="shared" si="758"/>
        <v>28</v>
      </c>
      <c r="DB289" s="43">
        <f t="shared" si="758"/>
        <v>0</v>
      </c>
      <c r="DC289" s="43">
        <v>24.6</v>
      </c>
      <c r="DD289" s="43">
        <v>0</v>
      </c>
      <c r="DE289" s="43">
        <f t="shared" si="759"/>
        <v>3.3999999999999986</v>
      </c>
      <c r="DF289" s="43">
        <f t="shared" si="759"/>
        <v>0</v>
      </c>
      <c r="DG289" s="43">
        <f>ROUND(0.25*(MIN(CU289,EW289)),2)</f>
        <v>11.09</v>
      </c>
      <c r="DH289" s="43">
        <f>ROUND(0.25*(MIN(CV289,EX289)),2)</f>
        <v>0</v>
      </c>
      <c r="DI289" s="43">
        <f>+DG289-DE289</f>
        <v>7.6900000000000013</v>
      </c>
      <c r="DJ289" s="43">
        <f>+DH289-DF289</f>
        <v>0</v>
      </c>
      <c r="DK289" s="43"/>
      <c r="DL289" s="43"/>
      <c r="DM289" s="43">
        <f t="shared" si="760"/>
        <v>35.69</v>
      </c>
      <c r="DN289" s="43">
        <f t="shared" si="760"/>
        <v>0</v>
      </c>
      <c r="DO289" s="94">
        <v>35.65</v>
      </c>
      <c r="DP289" s="78">
        <v>0</v>
      </c>
      <c r="DQ289" s="60">
        <f t="shared" si="761"/>
        <v>0.04</v>
      </c>
      <c r="DR289" s="60">
        <f t="shared" si="761"/>
        <v>0</v>
      </c>
      <c r="DS289" s="60">
        <f t="shared" si="762"/>
        <v>3.5649999999999999</v>
      </c>
      <c r="DT289" s="60">
        <f t="shared" si="762"/>
        <v>0</v>
      </c>
      <c r="DU289" s="60">
        <f t="shared" si="763"/>
        <v>3.5249999999999999</v>
      </c>
      <c r="DV289" s="60">
        <f t="shared" si="763"/>
        <v>0</v>
      </c>
      <c r="DW289" s="60"/>
      <c r="DX289" s="60"/>
      <c r="DY289" s="60">
        <v>7.15</v>
      </c>
      <c r="DZ289" s="60">
        <f t="shared" ref="DZ289" si="813">ROUND(DV289+DX289,2)</f>
        <v>0</v>
      </c>
      <c r="EA289" s="60"/>
      <c r="EB289" s="60"/>
      <c r="EC289" s="43">
        <f t="shared" si="764"/>
        <v>42.839999999999996</v>
      </c>
      <c r="ED289" s="43">
        <f t="shared" si="764"/>
        <v>0</v>
      </c>
      <c r="EE289" s="43">
        <v>39.25</v>
      </c>
      <c r="EF289" s="43"/>
      <c r="EG289" s="43">
        <f t="shared" si="795"/>
        <v>91.62</v>
      </c>
      <c r="EH289" s="43" t="e">
        <f t="shared" si="795"/>
        <v>#DIV/0!</v>
      </c>
      <c r="EI289" s="43">
        <f t="shared" si="765"/>
        <v>3.59</v>
      </c>
      <c r="EJ289" s="43">
        <f t="shared" si="765"/>
        <v>0</v>
      </c>
      <c r="EK289" s="43">
        <f t="shared" si="766"/>
        <v>3.57</v>
      </c>
      <c r="EL289" s="43">
        <f t="shared" si="766"/>
        <v>0</v>
      </c>
      <c r="EM289" s="43">
        <f t="shared" si="767"/>
        <v>-2.0000000000000018E-2</v>
      </c>
      <c r="EN289" s="43">
        <f t="shared" si="767"/>
        <v>0</v>
      </c>
      <c r="EO289" s="43">
        <v>0</v>
      </c>
      <c r="EP289" s="43">
        <v>0</v>
      </c>
      <c r="EQ289" s="5"/>
      <c r="ER289" s="5"/>
      <c r="ES289" s="45"/>
      <c r="ET289" s="5"/>
      <c r="EU289" s="5">
        <f t="shared" ref="EU289:EV310" si="814">+EW289-EC289-EO289</f>
        <v>1.5000000000000071</v>
      </c>
      <c r="EV289" s="5">
        <f t="shared" si="814"/>
        <v>0</v>
      </c>
      <c r="EW289" s="5">
        <v>44.34</v>
      </c>
      <c r="EY289" s="5">
        <v>50</v>
      </c>
    </row>
    <row r="290" spans="1:160" ht="37.5" x14ac:dyDescent="0.25">
      <c r="A290" s="68"/>
      <c r="B290" s="68" t="s">
        <v>574</v>
      </c>
      <c r="C290" s="91" t="s">
        <v>122</v>
      </c>
      <c r="D290" s="67" t="s">
        <v>577</v>
      </c>
      <c r="E290" s="69" t="s">
        <v>578</v>
      </c>
      <c r="F290" s="70">
        <v>45.31</v>
      </c>
      <c r="G290" s="70">
        <v>0</v>
      </c>
      <c r="H290" s="70">
        <v>45.31</v>
      </c>
      <c r="I290" s="70">
        <v>0</v>
      </c>
      <c r="J290" s="71">
        <f t="shared" ref="J290:AA290" si="815">J289</f>
        <v>100</v>
      </c>
      <c r="K290" s="71">
        <f t="shared" si="815"/>
        <v>0</v>
      </c>
      <c r="L290" s="71">
        <f t="shared" si="815"/>
        <v>0</v>
      </c>
      <c r="M290" s="71">
        <f t="shared" si="815"/>
        <v>100</v>
      </c>
      <c r="N290" s="71">
        <f t="shared" si="815"/>
        <v>0</v>
      </c>
      <c r="O290" s="71">
        <f t="shared" si="815"/>
        <v>0</v>
      </c>
      <c r="P290" s="71">
        <f t="shared" si="815"/>
        <v>0</v>
      </c>
      <c r="Q290" s="71">
        <f t="shared" si="815"/>
        <v>0</v>
      </c>
      <c r="R290" s="71">
        <f t="shared" si="815"/>
        <v>100</v>
      </c>
      <c r="S290" s="71">
        <f t="shared" si="815"/>
        <v>0</v>
      </c>
      <c r="T290" s="71">
        <f t="shared" si="815"/>
        <v>0</v>
      </c>
      <c r="U290" s="71">
        <f t="shared" si="815"/>
        <v>0</v>
      </c>
      <c r="V290" s="71">
        <f t="shared" si="815"/>
        <v>47.95</v>
      </c>
      <c r="W290" s="71">
        <f t="shared" si="815"/>
        <v>0</v>
      </c>
      <c r="X290" s="71">
        <f t="shared" si="815"/>
        <v>52.05</v>
      </c>
      <c r="Y290" s="71">
        <f t="shared" si="815"/>
        <v>0</v>
      </c>
      <c r="Z290" s="71">
        <f t="shared" si="815"/>
        <v>47.95</v>
      </c>
      <c r="AA290" s="71">
        <f t="shared" si="815"/>
        <v>0</v>
      </c>
      <c r="AB290" s="70">
        <f t="shared" si="742"/>
        <v>47.95</v>
      </c>
      <c r="AC290" s="43">
        <f t="shared" si="743"/>
        <v>0</v>
      </c>
      <c r="AD290" s="70">
        <f t="shared" ref="AD290:CQ290" si="816">AD289</f>
        <v>47.95</v>
      </c>
      <c r="AE290" s="70">
        <f t="shared" si="816"/>
        <v>0</v>
      </c>
      <c r="AF290" s="70">
        <f t="shared" si="816"/>
        <v>0</v>
      </c>
      <c r="AG290" s="70">
        <f t="shared" si="816"/>
        <v>12</v>
      </c>
      <c r="AH290" s="70">
        <f t="shared" si="816"/>
        <v>0</v>
      </c>
      <c r="AI290" s="96">
        <f t="shared" si="816"/>
        <v>4</v>
      </c>
      <c r="AJ290" s="70">
        <f t="shared" si="816"/>
        <v>0</v>
      </c>
      <c r="AK290" s="70">
        <f t="shared" si="816"/>
        <v>0</v>
      </c>
      <c r="AL290" s="70">
        <f t="shared" si="816"/>
        <v>0</v>
      </c>
      <c r="AM290" s="70">
        <f t="shared" si="816"/>
        <v>11.99</v>
      </c>
      <c r="AN290" s="70">
        <f t="shared" si="816"/>
        <v>0</v>
      </c>
      <c r="AO290" s="70">
        <f t="shared" si="816"/>
        <v>0</v>
      </c>
      <c r="AP290" s="70">
        <f t="shared" si="816"/>
        <v>0</v>
      </c>
      <c r="AQ290" s="70">
        <f t="shared" si="816"/>
        <v>23.990000000000002</v>
      </c>
      <c r="AR290" s="70">
        <f t="shared" si="816"/>
        <v>0</v>
      </c>
      <c r="AS290" s="70">
        <f t="shared" si="816"/>
        <v>0</v>
      </c>
      <c r="AT290" s="70">
        <f t="shared" si="816"/>
        <v>0</v>
      </c>
      <c r="AU290" s="70">
        <f t="shared" si="816"/>
        <v>11.99</v>
      </c>
      <c r="AV290" s="70">
        <f t="shared" si="816"/>
        <v>0</v>
      </c>
      <c r="AW290" s="70">
        <f t="shared" si="816"/>
        <v>0</v>
      </c>
      <c r="AX290" s="70">
        <f t="shared" si="816"/>
        <v>0</v>
      </c>
      <c r="AY290" s="70">
        <f t="shared" si="816"/>
        <v>39.980000000000004</v>
      </c>
      <c r="AZ290" s="70">
        <f t="shared" si="816"/>
        <v>0</v>
      </c>
      <c r="BA290" s="70">
        <f t="shared" si="816"/>
        <v>39.980000000000004</v>
      </c>
      <c r="BB290" s="70">
        <f t="shared" si="816"/>
        <v>31.67</v>
      </c>
      <c r="BC290" s="70">
        <f t="shared" si="816"/>
        <v>0</v>
      </c>
      <c r="BD290" s="70">
        <f t="shared" si="816"/>
        <v>8.3100000000000023</v>
      </c>
      <c r="BE290" s="70">
        <f t="shared" si="816"/>
        <v>0</v>
      </c>
      <c r="BF290" s="70">
        <f t="shared" si="816"/>
        <v>6.33</v>
      </c>
      <c r="BG290" s="96">
        <f t="shared" si="816"/>
        <v>0</v>
      </c>
      <c r="BH290" s="96">
        <f t="shared" si="816"/>
        <v>0</v>
      </c>
      <c r="BI290" s="96">
        <f t="shared" si="816"/>
        <v>0</v>
      </c>
      <c r="BJ290" s="96">
        <f t="shared" si="816"/>
        <v>0</v>
      </c>
      <c r="BK290" s="96">
        <f t="shared" si="816"/>
        <v>0</v>
      </c>
      <c r="BL290" s="96">
        <f t="shared" si="816"/>
        <v>39.980000000000004</v>
      </c>
      <c r="BM290" s="96">
        <f t="shared" si="816"/>
        <v>0</v>
      </c>
      <c r="BN290" s="96">
        <f t="shared" si="816"/>
        <v>39.980000000000004</v>
      </c>
      <c r="BO290" s="96">
        <f t="shared" si="816"/>
        <v>35.020000000000003</v>
      </c>
      <c r="BP290" s="96">
        <f t="shared" si="816"/>
        <v>0</v>
      </c>
      <c r="BQ290" s="70">
        <f t="shared" si="816"/>
        <v>4.9600000000000009</v>
      </c>
      <c r="BR290" s="70">
        <f t="shared" si="816"/>
        <v>0</v>
      </c>
      <c r="BS290" s="70">
        <f t="shared" si="816"/>
        <v>3.18</v>
      </c>
      <c r="BT290" s="70">
        <f t="shared" si="816"/>
        <v>0</v>
      </c>
      <c r="BU290" s="70">
        <f t="shared" si="816"/>
        <v>2.42</v>
      </c>
      <c r="BV290" s="70">
        <f t="shared" si="816"/>
        <v>0</v>
      </c>
      <c r="BW290" s="70">
        <f t="shared" si="816"/>
        <v>0</v>
      </c>
      <c r="BX290" s="70">
        <f t="shared" si="816"/>
        <v>0</v>
      </c>
      <c r="BY290" s="70">
        <f t="shared" si="816"/>
        <v>0</v>
      </c>
      <c r="BZ290" s="70">
        <f t="shared" si="816"/>
        <v>0</v>
      </c>
      <c r="CA290" s="70">
        <f t="shared" si="816"/>
        <v>42.400000000000006</v>
      </c>
      <c r="CB290" s="70">
        <f t="shared" si="816"/>
        <v>0</v>
      </c>
      <c r="CC290" s="70">
        <f t="shared" si="816"/>
        <v>46.64</v>
      </c>
      <c r="CD290" s="70">
        <f t="shared" si="816"/>
        <v>0</v>
      </c>
      <c r="CE290" s="70">
        <f t="shared" si="816"/>
        <v>4</v>
      </c>
      <c r="CF290" s="70">
        <f t="shared" si="816"/>
        <v>0</v>
      </c>
      <c r="CG290" s="70">
        <f t="shared" si="816"/>
        <v>10.6</v>
      </c>
      <c r="CH290" s="96">
        <f t="shared" si="816"/>
        <v>0</v>
      </c>
      <c r="CI290" s="70">
        <f t="shared" si="816"/>
        <v>0</v>
      </c>
      <c r="CJ290" s="70">
        <f t="shared" si="816"/>
        <v>0</v>
      </c>
      <c r="CK290" s="70">
        <f t="shared" si="816"/>
        <v>12</v>
      </c>
      <c r="CL290" s="70">
        <f t="shared" si="816"/>
        <v>0</v>
      </c>
      <c r="CM290" s="70">
        <f t="shared" si="816"/>
        <v>0</v>
      </c>
      <c r="CN290" s="70">
        <f t="shared" si="816"/>
        <v>0</v>
      </c>
      <c r="CO290" s="70">
        <f t="shared" si="816"/>
        <v>0</v>
      </c>
      <c r="CP290" s="70">
        <f t="shared" si="816"/>
        <v>0</v>
      </c>
      <c r="CQ290" s="70">
        <f t="shared" si="816"/>
        <v>48</v>
      </c>
      <c r="CR290" s="70">
        <f t="shared" ref="CR290:FD290" si="817">CR289</f>
        <v>0</v>
      </c>
      <c r="CS290" s="70">
        <f t="shared" si="817"/>
        <v>48</v>
      </c>
      <c r="CT290" s="70">
        <f t="shared" si="817"/>
        <v>0</v>
      </c>
      <c r="CU290" s="70">
        <f t="shared" si="817"/>
        <v>48</v>
      </c>
      <c r="CV290" s="70">
        <f t="shared" si="817"/>
        <v>0</v>
      </c>
      <c r="CW290" s="70">
        <f t="shared" si="817"/>
        <v>12</v>
      </c>
      <c r="CX290" s="70">
        <f t="shared" si="817"/>
        <v>0</v>
      </c>
      <c r="CY290" s="70">
        <f t="shared" si="817"/>
        <v>0</v>
      </c>
      <c r="CZ290" s="70">
        <f t="shared" si="817"/>
        <v>0</v>
      </c>
      <c r="DA290" s="70">
        <f t="shared" si="817"/>
        <v>28</v>
      </c>
      <c r="DB290" s="70">
        <f t="shared" si="817"/>
        <v>0</v>
      </c>
      <c r="DC290" s="70">
        <f t="shared" si="817"/>
        <v>24.6</v>
      </c>
      <c r="DD290" s="70">
        <f t="shared" si="817"/>
        <v>0</v>
      </c>
      <c r="DE290" s="70">
        <f t="shared" si="817"/>
        <v>3.3999999999999986</v>
      </c>
      <c r="DF290" s="70">
        <f t="shared" si="817"/>
        <v>0</v>
      </c>
      <c r="DG290" s="70">
        <f t="shared" si="817"/>
        <v>11.09</v>
      </c>
      <c r="DH290" s="70">
        <f t="shared" si="817"/>
        <v>0</v>
      </c>
      <c r="DI290" s="70">
        <f t="shared" si="817"/>
        <v>7.6900000000000013</v>
      </c>
      <c r="DJ290" s="70">
        <f t="shared" si="817"/>
        <v>0</v>
      </c>
      <c r="DK290" s="70">
        <f t="shared" si="817"/>
        <v>0</v>
      </c>
      <c r="DL290" s="70">
        <f t="shared" si="817"/>
        <v>0</v>
      </c>
      <c r="DM290" s="70">
        <f t="shared" si="817"/>
        <v>35.69</v>
      </c>
      <c r="DN290" s="70">
        <f t="shared" si="817"/>
        <v>0</v>
      </c>
      <c r="DO290" s="70">
        <f t="shared" si="817"/>
        <v>35.65</v>
      </c>
      <c r="DP290" s="70">
        <f t="shared" si="817"/>
        <v>0</v>
      </c>
      <c r="DQ290" s="70">
        <f t="shared" si="817"/>
        <v>0.04</v>
      </c>
      <c r="DR290" s="70">
        <f t="shared" si="817"/>
        <v>0</v>
      </c>
      <c r="DS290" s="70">
        <f t="shared" si="817"/>
        <v>3.5649999999999999</v>
      </c>
      <c r="DT290" s="70">
        <f t="shared" si="817"/>
        <v>0</v>
      </c>
      <c r="DU290" s="70">
        <f t="shared" si="817"/>
        <v>3.5249999999999999</v>
      </c>
      <c r="DV290" s="70">
        <f t="shared" si="817"/>
        <v>0</v>
      </c>
      <c r="DW290" s="70">
        <f t="shared" si="817"/>
        <v>0</v>
      </c>
      <c r="DX290" s="70">
        <f t="shared" si="817"/>
        <v>0</v>
      </c>
      <c r="DY290" s="70">
        <f t="shared" si="817"/>
        <v>7.15</v>
      </c>
      <c r="DZ290" s="70">
        <f t="shared" si="817"/>
        <v>0</v>
      </c>
      <c r="EA290" s="70">
        <f t="shared" si="817"/>
        <v>0</v>
      </c>
      <c r="EB290" s="96">
        <f t="shared" si="817"/>
        <v>0</v>
      </c>
      <c r="EC290" s="70">
        <f t="shared" si="817"/>
        <v>42.839999999999996</v>
      </c>
      <c r="ED290" s="70">
        <f t="shared" si="817"/>
        <v>0</v>
      </c>
      <c r="EE290" s="70">
        <f t="shared" si="817"/>
        <v>39.25</v>
      </c>
      <c r="EF290" s="70">
        <f t="shared" si="817"/>
        <v>0</v>
      </c>
      <c r="EG290" s="70">
        <f t="shared" si="817"/>
        <v>91.62</v>
      </c>
      <c r="EH290" s="70" t="e">
        <f t="shared" si="817"/>
        <v>#DIV/0!</v>
      </c>
      <c r="EI290" s="70">
        <f t="shared" si="817"/>
        <v>3.59</v>
      </c>
      <c r="EJ290" s="70">
        <f t="shared" si="817"/>
        <v>0</v>
      </c>
      <c r="EK290" s="70">
        <f t="shared" si="817"/>
        <v>3.57</v>
      </c>
      <c r="EL290" s="70">
        <f t="shared" si="817"/>
        <v>0</v>
      </c>
      <c r="EM290" s="70">
        <f t="shared" si="817"/>
        <v>-2.0000000000000018E-2</v>
      </c>
      <c r="EN290" s="70">
        <f t="shared" si="817"/>
        <v>0</v>
      </c>
      <c r="EO290" s="70">
        <f t="shared" si="817"/>
        <v>0</v>
      </c>
      <c r="EP290" s="70">
        <f t="shared" si="817"/>
        <v>0</v>
      </c>
      <c r="EQ290" s="79">
        <f t="shared" si="817"/>
        <v>0</v>
      </c>
      <c r="ER290" s="62">
        <f t="shared" si="817"/>
        <v>0</v>
      </c>
      <c r="ES290" s="62">
        <f t="shared" si="817"/>
        <v>0</v>
      </c>
      <c r="ET290" s="62">
        <f t="shared" si="817"/>
        <v>0</v>
      </c>
      <c r="EU290" s="5">
        <f t="shared" si="814"/>
        <v>1.5000000000000071</v>
      </c>
      <c r="EV290" s="5">
        <f t="shared" si="814"/>
        <v>0</v>
      </c>
      <c r="EW290" s="62">
        <f t="shared" si="817"/>
        <v>44.34</v>
      </c>
      <c r="EX290" s="62">
        <f t="shared" si="817"/>
        <v>0</v>
      </c>
      <c r="EY290" s="62">
        <f t="shared" si="817"/>
        <v>50</v>
      </c>
      <c r="EZ290" s="62">
        <f t="shared" si="817"/>
        <v>0</v>
      </c>
      <c r="FA290" s="62">
        <f t="shared" si="817"/>
        <v>0</v>
      </c>
      <c r="FB290" s="62">
        <f t="shared" si="817"/>
        <v>0</v>
      </c>
      <c r="FC290" s="62">
        <f t="shared" si="817"/>
        <v>0</v>
      </c>
      <c r="FD290" s="62">
        <f t="shared" si="817"/>
        <v>0</v>
      </c>
    </row>
    <row r="291" spans="1:160" ht="37.5" x14ac:dyDescent="0.25">
      <c r="A291" s="68">
        <v>1</v>
      </c>
      <c r="B291" s="68" t="s">
        <v>579</v>
      </c>
      <c r="C291" s="91" t="s">
        <v>122</v>
      </c>
      <c r="D291" s="67" t="s">
        <v>580</v>
      </c>
      <c r="E291" s="69" t="s">
        <v>581</v>
      </c>
      <c r="F291" s="40">
        <v>480.97</v>
      </c>
      <c r="G291" s="40">
        <v>0</v>
      </c>
      <c r="H291" s="40">
        <v>506.98</v>
      </c>
      <c r="I291" s="70">
        <v>0</v>
      </c>
      <c r="J291" s="71">
        <v>520</v>
      </c>
      <c r="K291" s="71"/>
      <c r="L291" s="71"/>
      <c r="M291" s="71">
        <f t="shared" ref="M291:M302" si="818">+L291+K291+J291</f>
        <v>520</v>
      </c>
      <c r="N291" s="71"/>
      <c r="O291" s="71"/>
      <c r="P291" s="71"/>
      <c r="Q291" s="71">
        <f t="shared" ref="Q291:Q302" si="819">+P291+O291+N291</f>
        <v>0</v>
      </c>
      <c r="R291" s="71">
        <f>Q291+M291</f>
        <v>520</v>
      </c>
      <c r="S291" s="71">
        <v>0</v>
      </c>
      <c r="T291" s="92"/>
      <c r="U291" s="92"/>
      <c r="V291" s="70">
        <f t="shared" ref="V291:V302" si="820">ROUND(H291*1.0583,2)</f>
        <v>536.54</v>
      </c>
      <c r="W291" s="40">
        <f t="shared" ref="W291:W302" si="821">ROUND(I291*1.0327,2)</f>
        <v>0</v>
      </c>
      <c r="X291" s="43">
        <f t="shared" si="716"/>
        <v>-16.539999999999964</v>
      </c>
      <c r="Y291" s="43">
        <f t="shared" si="716"/>
        <v>0</v>
      </c>
      <c r="Z291" s="43">
        <v>520</v>
      </c>
      <c r="AA291" s="43"/>
      <c r="AB291" s="43">
        <f t="shared" si="742"/>
        <v>520</v>
      </c>
      <c r="AC291" s="43">
        <f t="shared" si="743"/>
        <v>0</v>
      </c>
      <c r="AD291" s="71">
        <f t="shared" ref="AD291:AE302" si="822">IF(X291&gt;0,V291,R291)</f>
        <v>520</v>
      </c>
      <c r="AE291" s="71">
        <f t="shared" si="822"/>
        <v>0</v>
      </c>
      <c r="AF291" s="71">
        <f t="shared" si="718"/>
        <v>0</v>
      </c>
      <c r="AG291" s="43">
        <f t="shared" si="719"/>
        <v>130</v>
      </c>
      <c r="AH291" s="43">
        <f t="shared" si="719"/>
        <v>0</v>
      </c>
      <c r="AI291" s="93">
        <f t="shared" si="720"/>
        <v>43</v>
      </c>
      <c r="AJ291" s="43">
        <f t="shared" si="720"/>
        <v>0</v>
      </c>
      <c r="AK291" s="43"/>
      <c r="AL291" s="43"/>
      <c r="AM291" s="43">
        <f t="shared" si="721"/>
        <v>130</v>
      </c>
      <c r="AN291" s="43">
        <f t="shared" si="722"/>
        <v>0</v>
      </c>
      <c r="AO291" s="43"/>
      <c r="AP291" s="43"/>
      <c r="AQ291" s="43">
        <f t="shared" si="723"/>
        <v>260</v>
      </c>
      <c r="AR291" s="43">
        <f t="shared" si="723"/>
        <v>0</v>
      </c>
      <c r="AS291" s="43"/>
      <c r="AT291" s="43"/>
      <c r="AU291" s="43">
        <f t="shared" si="804"/>
        <v>130</v>
      </c>
      <c r="AV291" s="43">
        <f t="shared" si="804"/>
        <v>0</v>
      </c>
      <c r="AW291" s="43"/>
      <c r="AX291" s="43"/>
      <c r="AY291" s="43">
        <f t="shared" si="724"/>
        <v>433</v>
      </c>
      <c r="AZ291" s="43">
        <f t="shared" si="724"/>
        <v>0</v>
      </c>
      <c r="BA291" s="43">
        <f t="shared" si="725"/>
        <v>433</v>
      </c>
      <c r="BB291" s="60">
        <v>341.16</v>
      </c>
      <c r="BC291" s="60"/>
      <c r="BD291" s="60">
        <f t="shared" si="726"/>
        <v>91.839999999999975</v>
      </c>
      <c r="BE291" s="60">
        <f t="shared" si="726"/>
        <v>0</v>
      </c>
      <c r="BF291" s="60">
        <f t="shared" si="727"/>
        <v>68.23</v>
      </c>
      <c r="BG291" s="60">
        <f t="shared" si="727"/>
        <v>0</v>
      </c>
      <c r="BH291" s="43">
        <v>0</v>
      </c>
      <c r="BI291" s="43">
        <v>0</v>
      </c>
      <c r="BJ291" s="43"/>
      <c r="BK291" s="43"/>
      <c r="BL291" s="43">
        <f t="shared" si="739"/>
        <v>433</v>
      </c>
      <c r="BM291" s="43">
        <f t="shared" si="739"/>
        <v>0</v>
      </c>
      <c r="BN291" s="43">
        <f t="shared" si="751"/>
        <v>433</v>
      </c>
      <c r="BO291" s="43">
        <v>384.14</v>
      </c>
      <c r="BP291" s="93"/>
      <c r="BQ291" s="43">
        <f t="shared" si="752"/>
        <v>48.860000000000014</v>
      </c>
      <c r="BR291" s="43">
        <f t="shared" si="752"/>
        <v>0</v>
      </c>
      <c r="BS291" s="43">
        <f t="shared" si="753"/>
        <v>34.92</v>
      </c>
      <c r="BT291" s="43">
        <f t="shared" si="753"/>
        <v>0</v>
      </c>
      <c r="BU291" s="43">
        <v>0</v>
      </c>
      <c r="BV291" s="43">
        <v>0</v>
      </c>
      <c r="BW291" s="43"/>
      <c r="BX291" s="43"/>
      <c r="BY291" s="43"/>
      <c r="BZ291" s="43"/>
      <c r="CA291" s="43">
        <v>433</v>
      </c>
      <c r="CB291" s="43">
        <v>0</v>
      </c>
      <c r="CC291" s="92">
        <v>476.3</v>
      </c>
      <c r="CD291" s="92">
        <v>0</v>
      </c>
      <c r="CE291" s="92">
        <v>40</v>
      </c>
      <c r="CF291" s="92">
        <v>5</v>
      </c>
      <c r="CG291" s="92">
        <f t="shared" si="754"/>
        <v>108.25</v>
      </c>
      <c r="CH291" s="92">
        <f t="shared" si="754"/>
        <v>0</v>
      </c>
      <c r="CI291" s="43"/>
      <c r="CJ291" s="43"/>
      <c r="CK291" s="72">
        <v>98</v>
      </c>
      <c r="CL291" s="43">
        <v>0</v>
      </c>
      <c r="CM291" s="43"/>
      <c r="CN291" s="43"/>
      <c r="CO291" s="43">
        <v>600</v>
      </c>
      <c r="CP291" s="43">
        <v>53</v>
      </c>
      <c r="CQ291" s="43">
        <f t="shared" si="755"/>
        <v>392</v>
      </c>
      <c r="CR291" s="43">
        <f t="shared" si="755"/>
        <v>0</v>
      </c>
      <c r="CS291" s="43">
        <f t="shared" si="756"/>
        <v>392</v>
      </c>
      <c r="CT291" s="43">
        <f>IF(CP291&lt;CR291,CP291,CR291)+53</f>
        <v>53</v>
      </c>
      <c r="CU291" s="43">
        <f t="shared" ref="CU291:CV292" si="823">IF(CQ291&lt;CS291,CQ291,CS291)</f>
        <v>392</v>
      </c>
      <c r="CV291" s="43">
        <f>IF(CR291&lt;CT291,CR291,CT291)+53</f>
        <v>53</v>
      </c>
      <c r="CW291" s="43">
        <f t="shared" si="757"/>
        <v>98</v>
      </c>
      <c r="CX291" s="43">
        <f t="shared" si="757"/>
        <v>13.25</v>
      </c>
      <c r="CY291" s="43"/>
      <c r="CZ291" s="43">
        <v>18</v>
      </c>
      <c r="DA291" s="43">
        <f t="shared" si="758"/>
        <v>236</v>
      </c>
      <c r="DB291" s="43">
        <f t="shared" si="758"/>
        <v>36.25</v>
      </c>
      <c r="DC291" s="43">
        <v>228.94</v>
      </c>
      <c r="DD291" s="43">
        <v>4.0599999999999996</v>
      </c>
      <c r="DE291" s="43">
        <f t="shared" si="759"/>
        <v>7.0600000000000023</v>
      </c>
      <c r="DF291" s="43">
        <f t="shared" si="759"/>
        <v>32.19</v>
      </c>
      <c r="DG291" s="43">
        <f t="shared" ref="DG291:DH307" si="824">ROUND(0.25*(MIN(CU291,EW291)),2)</f>
        <v>89.39</v>
      </c>
      <c r="DH291" s="43">
        <f t="shared" si="824"/>
        <v>11.81</v>
      </c>
      <c r="DI291" s="43">
        <f t="shared" ref="DI291:DI307" si="825">+DG291-DE291</f>
        <v>82.33</v>
      </c>
      <c r="DJ291" s="43">
        <f>+DH291-DF291+20.38</f>
        <v>0</v>
      </c>
      <c r="DK291" s="43">
        <v>8</v>
      </c>
      <c r="DL291" s="43"/>
      <c r="DM291" s="43">
        <f t="shared" si="760"/>
        <v>326.33</v>
      </c>
      <c r="DN291" s="43">
        <f t="shared" si="760"/>
        <v>36.25</v>
      </c>
      <c r="DO291" s="94">
        <v>317.94</v>
      </c>
      <c r="DP291" s="95">
        <v>25.79</v>
      </c>
      <c r="DQ291" s="60">
        <f t="shared" si="761"/>
        <v>8.39</v>
      </c>
      <c r="DR291" s="60">
        <f t="shared" si="761"/>
        <v>10.46</v>
      </c>
      <c r="DS291" s="60">
        <f t="shared" si="762"/>
        <v>31.794</v>
      </c>
      <c r="DT291" s="60">
        <f t="shared" si="762"/>
        <v>2.5789999999999997</v>
      </c>
      <c r="DU291" s="60">
        <f t="shared" si="763"/>
        <v>23.404</v>
      </c>
      <c r="DV291" s="60">
        <f t="shared" si="763"/>
        <v>-7.8810000000000011</v>
      </c>
      <c r="DW291" s="60"/>
      <c r="DX291" s="60"/>
      <c r="DY291" s="60">
        <v>40</v>
      </c>
      <c r="DZ291" s="60">
        <v>0</v>
      </c>
      <c r="EA291" s="60"/>
      <c r="EB291" s="60"/>
      <c r="EC291" s="43">
        <f t="shared" si="764"/>
        <v>366.33</v>
      </c>
      <c r="ED291" s="43">
        <f t="shared" si="764"/>
        <v>36.25</v>
      </c>
      <c r="EE291" s="43">
        <v>349.14</v>
      </c>
      <c r="EF291" s="43">
        <v>25.89</v>
      </c>
      <c r="EG291" s="43">
        <f t="shared" si="795"/>
        <v>95.31</v>
      </c>
      <c r="EH291" s="43">
        <f t="shared" si="795"/>
        <v>71.42</v>
      </c>
      <c r="EI291" s="43">
        <f t="shared" si="765"/>
        <v>17.190000000000001</v>
      </c>
      <c r="EJ291" s="43">
        <f t="shared" si="765"/>
        <v>10.36</v>
      </c>
      <c r="EK291" s="43">
        <f t="shared" si="766"/>
        <v>31.74</v>
      </c>
      <c r="EL291" s="43">
        <f t="shared" si="766"/>
        <v>2.35</v>
      </c>
      <c r="EM291" s="43">
        <f t="shared" si="767"/>
        <v>14.549999999999997</v>
      </c>
      <c r="EN291" s="43">
        <f t="shared" si="767"/>
        <v>-8.01</v>
      </c>
      <c r="EO291" s="43">
        <v>23</v>
      </c>
      <c r="EP291" s="43">
        <v>8</v>
      </c>
      <c r="EQ291" s="5"/>
      <c r="ER291" s="5"/>
      <c r="ES291" s="45">
        <v>71</v>
      </c>
      <c r="ET291" s="45">
        <v>8</v>
      </c>
      <c r="EU291" s="5">
        <f t="shared" si="814"/>
        <v>-31.769999999999982</v>
      </c>
      <c r="EV291" s="5">
        <f t="shared" si="814"/>
        <v>2.9799999999999969</v>
      </c>
      <c r="EW291" s="5">
        <v>357.56</v>
      </c>
      <c r="EX291" s="5">
        <v>47.23</v>
      </c>
      <c r="EY291" s="5">
        <v>360</v>
      </c>
      <c r="EZ291" s="5">
        <v>50</v>
      </c>
    </row>
    <row r="292" spans="1:160" ht="37.5" x14ac:dyDescent="0.25">
      <c r="A292" s="68">
        <v>2</v>
      </c>
      <c r="B292" s="68" t="s">
        <v>582</v>
      </c>
      <c r="C292" s="91" t="s">
        <v>203</v>
      </c>
      <c r="D292" s="67" t="s">
        <v>583</v>
      </c>
      <c r="E292" s="69" t="s">
        <v>584</v>
      </c>
      <c r="F292" s="40">
        <v>9415.4599999999991</v>
      </c>
      <c r="G292" s="40">
        <v>15</v>
      </c>
      <c r="H292" s="40">
        <v>9515.4599999999991</v>
      </c>
      <c r="I292" s="70">
        <v>13.879999999999999</v>
      </c>
      <c r="J292" s="71">
        <v>9775</v>
      </c>
      <c r="K292" s="71"/>
      <c r="L292" s="71"/>
      <c r="M292" s="71">
        <f t="shared" si="818"/>
        <v>9775</v>
      </c>
      <c r="N292" s="71"/>
      <c r="O292" s="71"/>
      <c r="P292" s="71"/>
      <c r="Q292" s="71">
        <f t="shared" si="819"/>
        <v>0</v>
      </c>
      <c r="R292" s="71">
        <f t="shared" ref="R292:R302" si="826">Q292+M292</f>
        <v>9775</v>
      </c>
      <c r="S292" s="71">
        <v>0</v>
      </c>
      <c r="T292" s="92"/>
      <c r="U292" s="92"/>
      <c r="V292" s="70">
        <f t="shared" si="820"/>
        <v>10070.209999999999</v>
      </c>
      <c r="W292" s="40">
        <f t="shared" si="821"/>
        <v>14.33</v>
      </c>
      <c r="X292" s="43">
        <f t="shared" si="716"/>
        <v>-295.20999999999913</v>
      </c>
      <c r="Y292" s="43">
        <f t="shared" si="716"/>
        <v>-14.33</v>
      </c>
      <c r="Z292" s="43">
        <v>9775</v>
      </c>
      <c r="AA292" s="43"/>
      <c r="AB292" s="43">
        <f t="shared" si="742"/>
        <v>9775</v>
      </c>
      <c r="AC292" s="43">
        <f t="shared" si="743"/>
        <v>0</v>
      </c>
      <c r="AD292" s="71">
        <f t="shared" si="822"/>
        <v>9775</v>
      </c>
      <c r="AE292" s="71">
        <f>IF(Y292&gt;0,W292,S292)+6</f>
        <v>6</v>
      </c>
      <c r="AF292" s="71">
        <f t="shared" si="718"/>
        <v>0</v>
      </c>
      <c r="AG292" s="43">
        <f t="shared" si="719"/>
        <v>2444</v>
      </c>
      <c r="AH292" s="43">
        <v>0</v>
      </c>
      <c r="AI292" s="93">
        <f t="shared" si="720"/>
        <v>815</v>
      </c>
      <c r="AJ292" s="43">
        <v>0</v>
      </c>
      <c r="AK292" s="43"/>
      <c r="AL292" s="43"/>
      <c r="AM292" s="43">
        <f t="shared" si="721"/>
        <v>2443.75</v>
      </c>
      <c r="AN292" s="43">
        <f>ROUND(AE292*24.35%,2)+1.54</f>
        <v>3</v>
      </c>
      <c r="AO292" s="43"/>
      <c r="AP292" s="43"/>
      <c r="AQ292" s="43">
        <f t="shared" si="723"/>
        <v>4887.75</v>
      </c>
      <c r="AR292" s="43">
        <f t="shared" si="723"/>
        <v>3</v>
      </c>
      <c r="AS292" s="43"/>
      <c r="AT292" s="43"/>
      <c r="AU292" s="43">
        <f t="shared" si="804"/>
        <v>2443.75</v>
      </c>
      <c r="AV292" s="43">
        <f t="shared" si="804"/>
        <v>1.5</v>
      </c>
      <c r="AW292" s="43"/>
      <c r="AX292" s="43"/>
      <c r="AY292" s="43">
        <f t="shared" si="724"/>
        <v>8146.5</v>
      </c>
      <c r="AZ292" s="43">
        <f>+AR292+AT292+AV292+AX292+AJ292</f>
        <v>4.5</v>
      </c>
      <c r="BA292" s="43">
        <f t="shared" si="725"/>
        <v>8151</v>
      </c>
      <c r="BB292" s="60">
        <v>7567.48</v>
      </c>
      <c r="BC292" s="60">
        <v>11.19</v>
      </c>
      <c r="BD292" s="60">
        <f t="shared" si="726"/>
        <v>579.02000000000044</v>
      </c>
      <c r="BE292" s="60">
        <f t="shared" si="726"/>
        <v>-6.6899999999999995</v>
      </c>
      <c r="BF292" s="60">
        <f t="shared" si="727"/>
        <v>1513.5</v>
      </c>
      <c r="BG292" s="60">
        <f t="shared" si="727"/>
        <v>2.2400000000000002</v>
      </c>
      <c r="BH292" s="43">
        <v>467.24</v>
      </c>
      <c r="BI292" s="43">
        <v>0</v>
      </c>
      <c r="BJ292" s="43">
        <v>1440</v>
      </c>
      <c r="BK292" s="43">
        <v>6.69</v>
      </c>
      <c r="BL292" s="43">
        <f t="shared" si="739"/>
        <v>10053.74</v>
      </c>
      <c r="BM292" s="43">
        <f t="shared" si="739"/>
        <v>11.190000000000001</v>
      </c>
      <c r="BN292" s="43">
        <f t="shared" si="751"/>
        <v>10064.93</v>
      </c>
      <c r="BO292" s="43">
        <v>9936.26</v>
      </c>
      <c r="BP292" s="93">
        <v>11.19</v>
      </c>
      <c r="BQ292" s="43">
        <f t="shared" si="752"/>
        <v>117.47999999999956</v>
      </c>
      <c r="BR292" s="43">
        <f t="shared" si="752"/>
        <v>0</v>
      </c>
      <c r="BS292" s="43">
        <f t="shared" si="753"/>
        <v>903.3</v>
      </c>
      <c r="BT292" s="43">
        <f t="shared" si="753"/>
        <v>1.02</v>
      </c>
      <c r="BU292" s="43">
        <v>700</v>
      </c>
      <c r="BV292" s="43">
        <v>0</v>
      </c>
      <c r="BW292" s="43">
        <v>1746.26</v>
      </c>
      <c r="BX292" s="43"/>
      <c r="BY292" s="43"/>
      <c r="BZ292" s="43"/>
      <c r="CA292" s="43">
        <v>12500</v>
      </c>
      <c r="CB292" s="43">
        <v>11.190000000000001</v>
      </c>
      <c r="CC292" s="92">
        <v>13750</v>
      </c>
      <c r="CD292" s="92">
        <v>12.87</v>
      </c>
      <c r="CE292" s="92">
        <v>1146</v>
      </c>
      <c r="CF292" s="92">
        <v>0</v>
      </c>
      <c r="CG292" s="92">
        <f t="shared" si="754"/>
        <v>3125</v>
      </c>
      <c r="CH292" s="92">
        <f t="shared" si="754"/>
        <v>2.8</v>
      </c>
      <c r="CI292" s="43"/>
      <c r="CJ292" s="43"/>
      <c r="CK292" s="72">
        <f>3100-100-100</f>
        <v>2900</v>
      </c>
      <c r="CL292" s="43">
        <v>0</v>
      </c>
      <c r="CM292" s="43"/>
      <c r="CN292" s="43"/>
      <c r="CO292" s="43">
        <v>11200</v>
      </c>
      <c r="CP292" s="43">
        <v>0</v>
      </c>
      <c r="CQ292" s="43">
        <f t="shared" si="755"/>
        <v>11600</v>
      </c>
      <c r="CR292" s="43">
        <f t="shared" si="755"/>
        <v>0</v>
      </c>
      <c r="CS292" s="43">
        <f t="shared" si="756"/>
        <v>11200</v>
      </c>
      <c r="CT292" s="43">
        <f t="shared" si="756"/>
        <v>0</v>
      </c>
      <c r="CU292" s="43">
        <f t="shared" si="823"/>
        <v>11200</v>
      </c>
      <c r="CV292" s="43">
        <f t="shared" si="823"/>
        <v>0</v>
      </c>
      <c r="CW292" s="43">
        <f t="shared" si="757"/>
        <v>2800</v>
      </c>
      <c r="CX292" s="43">
        <f t="shared" si="757"/>
        <v>0</v>
      </c>
      <c r="CY292" s="43"/>
      <c r="CZ292" s="43"/>
      <c r="DA292" s="43">
        <f t="shared" si="758"/>
        <v>6846</v>
      </c>
      <c r="DB292" s="43">
        <f t="shared" si="758"/>
        <v>0</v>
      </c>
      <c r="DC292" s="43">
        <v>5029.2999999999993</v>
      </c>
      <c r="DD292" s="43">
        <v>0</v>
      </c>
      <c r="DE292" s="43">
        <f t="shared" si="759"/>
        <v>1816.7000000000007</v>
      </c>
      <c r="DF292" s="43">
        <f t="shared" si="759"/>
        <v>0</v>
      </c>
      <c r="DG292" s="43">
        <f t="shared" si="824"/>
        <v>2800</v>
      </c>
      <c r="DH292" s="43">
        <f t="shared" si="824"/>
        <v>0</v>
      </c>
      <c r="DI292" s="43">
        <f>+DG292-DE292+1816.7</f>
        <v>2799.9999999999991</v>
      </c>
      <c r="DJ292" s="43">
        <f>+DH292-DF292</f>
        <v>0</v>
      </c>
      <c r="DK292" s="43"/>
      <c r="DL292" s="43"/>
      <c r="DM292" s="43">
        <f t="shared" si="760"/>
        <v>9646</v>
      </c>
      <c r="DN292" s="43">
        <f t="shared" si="760"/>
        <v>0</v>
      </c>
      <c r="DO292" s="115">
        <f>199.23+8835.17</f>
        <v>9034.4</v>
      </c>
      <c r="DP292" s="95">
        <v>0</v>
      </c>
      <c r="DQ292" s="60">
        <f t="shared" si="761"/>
        <v>611.6</v>
      </c>
      <c r="DR292" s="60">
        <f t="shared" si="761"/>
        <v>0</v>
      </c>
      <c r="DS292" s="60">
        <f t="shared" si="762"/>
        <v>903.43999999999994</v>
      </c>
      <c r="DT292" s="60">
        <f t="shared" si="762"/>
        <v>0</v>
      </c>
      <c r="DU292" s="60">
        <f t="shared" si="763"/>
        <v>291.83999999999992</v>
      </c>
      <c r="DV292" s="60">
        <f t="shared" si="763"/>
        <v>0</v>
      </c>
      <c r="DW292" s="60"/>
      <c r="DX292" s="60"/>
      <c r="DY292" s="60">
        <f t="shared" ref="DY292:DZ309" si="827">ROUND(DU292+DW292,2)</f>
        <v>291.83999999999997</v>
      </c>
      <c r="DZ292" s="60">
        <f t="shared" si="827"/>
        <v>0</v>
      </c>
      <c r="EA292" s="60"/>
      <c r="EB292" s="60"/>
      <c r="EC292" s="43">
        <f t="shared" si="764"/>
        <v>9937.84</v>
      </c>
      <c r="ED292" s="43">
        <f t="shared" si="764"/>
        <v>0</v>
      </c>
      <c r="EE292" s="43">
        <v>9054.06</v>
      </c>
      <c r="EF292" s="43">
        <v>0</v>
      </c>
      <c r="EG292" s="43">
        <f t="shared" si="795"/>
        <v>91.11</v>
      </c>
      <c r="EH292" s="43" t="e">
        <f t="shared" si="795"/>
        <v>#DIV/0!</v>
      </c>
      <c r="EI292" s="43">
        <f t="shared" si="765"/>
        <v>883.78</v>
      </c>
      <c r="EJ292" s="43">
        <f t="shared" si="765"/>
        <v>0</v>
      </c>
      <c r="EK292" s="43">
        <f t="shared" si="766"/>
        <v>823.1</v>
      </c>
      <c r="EL292" s="43">
        <f t="shared" si="766"/>
        <v>0</v>
      </c>
      <c r="EM292" s="43">
        <f>+EK292-EI292</f>
        <v>-60.67999999999995</v>
      </c>
      <c r="EN292" s="43">
        <f t="shared" si="767"/>
        <v>0</v>
      </c>
      <c r="EO292" s="43">
        <v>1062.1600000000001</v>
      </c>
      <c r="EP292" s="43">
        <v>0</v>
      </c>
      <c r="EQ292" s="5"/>
      <c r="ER292" s="5"/>
      <c r="ES292" s="5"/>
      <c r="ET292" s="5"/>
      <c r="EU292" s="5">
        <f t="shared" si="814"/>
        <v>199.99999999999977</v>
      </c>
      <c r="EV292" s="5">
        <f t="shared" si="814"/>
        <v>0</v>
      </c>
      <c r="EW292" s="5">
        <v>11200</v>
      </c>
      <c r="EX292" s="5">
        <v>0</v>
      </c>
      <c r="EY292" s="5">
        <v>11000</v>
      </c>
      <c r="EZ292" s="5">
        <v>0</v>
      </c>
    </row>
    <row r="293" spans="1:160" ht="37.5" x14ac:dyDescent="0.25">
      <c r="A293" s="68">
        <v>3</v>
      </c>
      <c r="B293" s="68" t="s">
        <v>585</v>
      </c>
      <c r="C293" s="91" t="s">
        <v>183</v>
      </c>
      <c r="D293" s="67" t="s">
        <v>586</v>
      </c>
      <c r="E293" s="69" t="s">
        <v>587</v>
      </c>
      <c r="F293" s="40">
        <v>8140.9999999999982</v>
      </c>
      <c r="G293" s="40">
        <v>0.90999999999999992</v>
      </c>
      <c r="H293" s="40">
        <v>8140.9999999999982</v>
      </c>
      <c r="I293" s="70">
        <v>0.90999999999999992</v>
      </c>
      <c r="J293" s="71">
        <v>8000</v>
      </c>
      <c r="K293" s="71"/>
      <c r="L293" s="71"/>
      <c r="M293" s="71">
        <f t="shared" si="818"/>
        <v>8000</v>
      </c>
      <c r="N293" s="71"/>
      <c r="O293" s="71"/>
      <c r="P293" s="71"/>
      <c r="Q293" s="71">
        <f t="shared" si="819"/>
        <v>0</v>
      </c>
      <c r="R293" s="71">
        <f t="shared" si="826"/>
        <v>8000</v>
      </c>
      <c r="S293" s="71">
        <v>1</v>
      </c>
      <c r="T293" s="92"/>
      <c r="U293" s="92"/>
      <c r="V293" s="70">
        <f t="shared" si="820"/>
        <v>8615.6200000000008</v>
      </c>
      <c r="W293" s="40">
        <f t="shared" si="821"/>
        <v>0.94</v>
      </c>
      <c r="X293" s="43">
        <f t="shared" si="716"/>
        <v>-615.6200000000008</v>
      </c>
      <c r="Y293" s="43">
        <f t="shared" si="716"/>
        <v>6.0000000000000053E-2</v>
      </c>
      <c r="Z293" s="43">
        <v>8000</v>
      </c>
      <c r="AA293" s="43"/>
      <c r="AB293" s="43">
        <f t="shared" si="742"/>
        <v>8000</v>
      </c>
      <c r="AC293" s="43">
        <f t="shared" si="743"/>
        <v>0</v>
      </c>
      <c r="AD293" s="71">
        <f t="shared" si="822"/>
        <v>8000</v>
      </c>
      <c r="AE293" s="71">
        <f t="shared" si="822"/>
        <v>0.94</v>
      </c>
      <c r="AF293" s="71">
        <f t="shared" si="718"/>
        <v>0.9</v>
      </c>
      <c r="AG293" s="43">
        <f t="shared" si="719"/>
        <v>2000</v>
      </c>
      <c r="AH293" s="43">
        <f t="shared" si="719"/>
        <v>0</v>
      </c>
      <c r="AI293" s="93">
        <f t="shared" si="720"/>
        <v>667</v>
      </c>
      <c r="AJ293" s="43">
        <f t="shared" si="720"/>
        <v>0</v>
      </c>
      <c r="AK293" s="43"/>
      <c r="AL293" s="43"/>
      <c r="AM293" s="43">
        <f t="shared" si="721"/>
        <v>2000</v>
      </c>
      <c r="AN293" s="43">
        <f t="shared" si="722"/>
        <v>0.23</v>
      </c>
      <c r="AO293" s="43"/>
      <c r="AP293" s="43"/>
      <c r="AQ293" s="43">
        <f t="shared" si="723"/>
        <v>4000</v>
      </c>
      <c r="AR293" s="43">
        <f t="shared" si="723"/>
        <v>0.23</v>
      </c>
      <c r="AS293" s="43"/>
      <c r="AT293" s="43"/>
      <c r="AU293" s="43">
        <f t="shared" si="804"/>
        <v>2000</v>
      </c>
      <c r="AV293" s="43">
        <f t="shared" si="804"/>
        <v>0.24</v>
      </c>
      <c r="AW293" s="43"/>
      <c r="AX293" s="43"/>
      <c r="AY293" s="43">
        <f t="shared" si="724"/>
        <v>6667</v>
      </c>
      <c r="AZ293" s="43">
        <f t="shared" si="724"/>
        <v>0.47</v>
      </c>
      <c r="BA293" s="43">
        <f t="shared" si="725"/>
        <v>6667.47</v>
      </c>
      <c r="BB293" s="60">
        <v>6575.8499999999995</v>
      </c>
      <c r="BC293" s="60"/>
      <c r="BD293" s="60">
        <f t="shared" si="726"/>
        <v>91.150000000000546</v>
      </c>
      <c r="BE293" s="60">
        <f t="shared" si="726"/>
        <v>0.47</v>
      </c>
      <c r="BF293" s="60">
        <f t="shared" si="727"/>
        <v>1315.17</v>
      </c>
      <c r="BG293" s="60">
        <f t="shared" si="727"/>
        <v>0</v>
      </c>
      <c r="BH293" s="43">
        <v>612.01</v>
      </c>
      <c r="BI293" s="43">
        <v>0</v>
      </c>
      <c r="BJ293" s="43">
        <v>1395.84</v>
      </c>
      <c r="BK293" s="43"/>
      <c r="BL293" s="43">
        <f t="shared" si="739"/>
        <v>8674.85</v>
      </c>
      <c r="BM293" s="43">
        <f t="shared" si="739"/>
        <v>0.47</v>
      </c>
      <c r="BN293" s="43">
        <f t="shared" si="751"/>
        <v>8675.32</v>
      </c>
      <c r="BO293" s="43">
        <v>8565.1</v>
      </c>
      <c r="BP293" s="93"/>
      <c r="BQ293" s="43">
        <f t="shared" si="752"/>
        <v>109.75</v>
      </c>
      <c r="BR293" s="43">
        <f t="shared" si="752"/>
        <v>0.47</v>
      </c>
      <c r="BS293" s="43">
        <f t="shared" si="753"/>
        <v>778.65</v>
      </c>
      <c r="BT293" s="43">
        <f t="shared" si="753"/>
        <v>0</v>
      </c>
      <c r="BU293" s="43">
        <v>600</v>
      </c>
      <c r="BV293" s="43">
        <v>0</v>
      </c>
      <c r="BW293" s="43">
        <f>120.99+200</f>
        <v>320.99</v>
      </c>
      <c r="BX293" s="43"/>
      <c r="BY293" s="43"/>
      <c r="BZ293" s="43"/>
      <c r="CA293" s="43">
        <v>9595.84</v>
      </c>
      <c r="CB293" s="43">
        <v>0.47</v>
      </c>
      <c r="CC293" s="92">
        <v>10555.42</v>
      </c>
      <c r="CD293" s="92">
        <v>0.54</v>
      </c>
      <c r="CE293" s="92">
        <v>880</v>
      </c>
      <c r="CF293" s="92">
        <v>0</v>
      </c>
      <c r="CG293" s="92">
        <f t="shared" si="754"/>
        <v>2398.96</v>
      </c>
      <c r="CH293" s="92">
        <f t="shared" si="754"/>
        <v>0.12</v>
      </c>
      <c r="CI293" s="43"/>
      <c r="CJ293" s="43"/>
      <c r="CK293" s="72">
        <f>2150-100</f>
        <v>2050</v>
      </c>
      <c r="CL293" s="43">
        <v>0</v>
      </c>
      <c r="CM293" s="43"/>
      <c r="CN293" s="43"/>
      <c r="CO293" s="43">
        <v>10000</v>
      </c>
      <c r="CP293" s="43">
        <v>0</v>
      </c>
      <c r="CQ293" s="43">
        <f t="shared" si="755"/>
        <v>8200</v>
      </c>
      <c r="CR293" s="43">
        <f t="shared" si="755"/>
        <v>0</v>
      </c>
      <c r="CS293" s="43">
        <f t="shared" si="756"/>
        <v>8200</v>
      </c>
      <c r="CT293" s="43">
        <f t="shared" si="756"/>
        <v>0</v>
      </c>
      <c r="CU293" s="43">
        <v>9100</v>
      </c>
      <c r="CV293" s="43">
        <v>0</v>
      </c>
      <c r="CW293" s="43">
        <f t="shared" si="757"/>
        <v>2275</v>
      </c>
      <c r="CX293" s="43">
        <f t="shared" si="757"/>
        <v>0</v>
      </c>
      <c r="CY293" s="43"/>
      <c r="CZ293" s="43"/>
      <c r="DA293" s="43">
        <f t="shared" si="758"/>
        <v>5205</v>
      </c>
      <c r="DB293" s="43">
        <f t="shared" si="758"/>
        <v>0</v>
      </c>
      <c r="DC293" s="43">
        <v>4817.7700000000004</v>
      </c>
      <c r="DD293" s="43"/>
      <c r="DE293" s="43">
        <f t="shared" si="759"/>
        <v>387.22999999999956</v>
      </c>
      <c r="DF293" s="43">
        <f t="shared" si="759"/>
        <v>0</v>
      </c>
      <c r="DG293" s="43">
        <f t="shared" si="824"/>
        <v>1950</v>
      </c>
      <c r="DH293" s="43">
        <f t="shared" si="824"/>
        <v>0</v>
      </c>
      <c r="DI293" s="43">
        <f t="shared" si="825"/>
        <v>1562.7700000000004</v>
      </c>
      <c r="DJ293" s="43">
        <f>+DH293-DF293</f>
        <v>0</v>
      </c>
      <c r="DK293" s="43"/>
      <c r="DL293" s="43"/>
      <c r="DM293" s="43">
        <f t="shared" si="760"/>
        <v>6767.77</v>
      </c>
      <c r="DN293" s="43">
        <f t="shared" si="760"/>
        <v>0</v>
      </c>
      <c r="DO293" s="94">
        <v>6529.58</v>
      </c>
      <c r="DP293" s="95"/>
      <c r="DQ293" s="60">
        <f t="shared" si="761"/>
        <v>238.19</v>
      </c>
      <c r="DR293" s="60">
        <f t="shared" si="761"/>
        <v>0</v>
      </c>
      <c r="DS293" s="60">
        <f t="shared" si="762"/>
        <v>652.95799999999997</v>
      </c>
      <c r="DT293" s="60">
        <f t="shared" si="762"/>
        <v>0</v>
      </c>
      <c r="DU293" s="60">
        <f t="shared" si="763"/>
        <v>414.76799999999997</v>
      </c>
      <c r="DV293" s="60">
        <f t="shared" si="763"/>
        <v>0</v>
      </c>
      <c r="DW293" s="60"/>
      <c r="DX293" s="60"/>
      <c r="DY293" s="60">
        <f t="shared" si="827"/>
        <v>414.77</v>
      </c>
      <c r="DZ293" s="60">
        <f t="shared" si="827"/>
        <v>0</v>
      </c>
      <c r="EA293" s="60"/>
      <c r="EB293" s="60"/>
      <c r="EC293" s="43">
        <f t="shared" si="764"/>
        <v>7182.5400000000009</v>
      </c>
      <c r="ED293" s="43">
        <f t="shared" si="764"/>
        <v>0</v>
      </c>
      <c r="EE293" s="43">
        <v>7181.96</v>
      </c>
      <c r="EF293" s="43">
        <v>0</v>
      </c>
      <c r="EG293" s="43">
        <f t="shared" si="795"/>
        <v>99.99</v>
      </c>
      <c r="EH293" s="43" t="e">
        <f t="shared" si="795"/>
        <v>#DIV/0!</v>
      </c>
      <c r="EI293" s="43">
        <f t="shared" si="765"/>
        <v>0.57999999999999996</v>
      </c>
      <c r="EJ293" s="43">
        <f t="shared" si="765"/>
        <v>0</v>
      </c>
      <c r="EK293" s="43">
        <f t="shared" si="766"/>
        <v>652.91</v>
      </c>
      <c r="EL293" s="43">
        <f t="shared" si="766"/>
        <v>0</v>
      </c>
      <c r="EM293" s="43">
        <f t="shared" si="767"/>
        <v>652.32999999999993</v>
      </c>
      <c r="EN293" s="43">
        <f t="shared" si="767"/>
        <v>0</v>
      </c>
      <c r="EO293" s="43">
        <v>1138.46</v>
      </c>
      <c r="EP293" s="43">
        <v>0</v>
      </c>
      <c r="EQ293" s="5"/>
      <c r="ER293" s="5"/>
      <c r="ES293" s="5"/>
      <c r="ET293" s="5"/>
      <c r="EU293" s="5">
        <f t="shared" si="814"/>
        <v>-521.00000000000091</v>
      </c>
      <c r="EV293" s="5">
        <f t="shared" si="814"/>
        <v>0</v>
      </c>
      <c r="EW293" s="5">
        <v>7800</v>
      </c>
      <c r="EX293" s="5">
        <v>0</v>
      </c>
      <c r="EY293" s="5">
        <v>9800</v>
      </c>
      <c r="EZ293" s="5">
        <v>0</v>
      </c>
    </row>
    <row r="294" spans="1:160" s="65" customFormat="1" ht="37.5" x14ac:dyDescent="0.25">
      <c r="A294" s="68">
        <v>4</v>
      </c>
      <c r="B294" s="68" t="s">
        <v>588</v>
      </c>
      <c r="C294" s="91" t="s">
        <v>136</v>
      </c>
      <c r="D294" s="67" t="s">
        <v>589</v>
      </c>
      <c r="E294" s="69" t="s">
        <v>590</v>
      </c>
      <c r="F294" s="40">
        <v>12057.369999999999</v>
      </c>
      <c r="G294" s="40">
        <v>1.01</v>
      </c>
      <c r="H294" s="40">
        <v>12057.369999999999</v>
      </c>
      <c r="I294" s="70">
        <v>1.01</v>
      </c>
      <c r="J294" s="71">
        <v>11500</v>
      </c>
      <c r="K294" s="71"/>
      <c r="L294" s="71"/>
      <c r="M294" s="71">
        <f t="shared" si="818"/>
        <v>11500</v>
      </c>
      <c r="N294" s="71"/>
      <c r="O294" s="71"/>
      <c r="P294" s="71"/>
      <c r="Q294" s="71">
        <f t="shared" si="819"/>
        <v>0</v>
      </c>
      <c r="R294" s="71">
        <f t="shared" si="826"/>
        <v>11500</v>
      </c>
      <c r="S294" s="71">
        <v>1</v>
      </c>
      <c r="T294" s="92"/>
      <c r="U294" s="92"/>
      <c r="V294" s="70">
        <f t="shared" si="820"/>
        <v>12760.31</v>
      </c>
      <c r="W294" s="40">
        <f t="shared" si="821"/>
        <v>1.04</v>
      </c>
      <c r="X294" s="43">
        <f t="shared" si="716"/>
        <v>-1260.3099999999995</v>
      </c>
      <c r="Y294" s="43">
        <f t="shared" si="716"/>
        <v>-4.0000000000000036E-2</v>
      </c>
      <c r="Z294" s="43">
        <v>11500</v>
      </c>
      <c r="AA294" s="43"/>
      <c r="AB294" s="43">
        <f t="shared" si="742"/>
        <v>11500</v>
      </c>
      <c r="AC294" s="43">
        <f t="shared" si="743"/>
        <v>0</v>
      </c>
      <c r="AD294" s="71">
        <f t="shared" si="822"/>
        <v>11500</v>
      </c>
      <c r="AE294" s="71">
        <f t="shared" si="822"/>
        <v>1</v>
      </c>
      <c r="AF294" s="71">
        <f t="shared" si="718"/>
        <v>0.9</v>
      </c>
      <c r="AG294" s="43">
        <f t="shared" si="719"/>
        <v>2875</v>
      </c>
      <c r="AH294" s="43">
        <f t="shared" si="719"/>
        <v>0</v>
      </c>
      <c r="AI294" s="93">
        <f t="shared" si="720"/>
        <v>958</v>
      </c>
      <c r="AJ294" s="43">
        <f t="shared" si="720"/>
        <v>0</v>
      </c>
      <c r="AK294" s="43"/>
      <c r="AL294" s="43"/>
      <c r="AM294" s="43">
        <f t="shared" si="721"/>
        <v>2875</v>
      </c>
      <c r="AN294" s="43">
        <f t="shared" si="722"/>
        <v>0.24</v>
      </c>
      <c r="AO294" s="43"/>
      <c r="AP294" s="43"/>
      <c r="AQ294" s="43">
        <f t="shared" si="723"/>
        <v>5750</v>
      </c>
      <c r="AR294" s="43">
        <f t="shared" si="723"/>
        <v>0.24</v>
      </c>
      <c r="AS294" s="43"/>
      <c r="AT294" s="43"/>
      <c r="AU294" s="43">
        <f t="shared" si="804"/>
        <v>2875</v>
      </c>
      <c r="AV294" s="43">
        <f>ROUND(AE294*25%,2)-0.25</f>
        <v>0</v>
      </c>
      <c r="AW294" s="43"/>
      <c r="AX294" s="43"/>
      <c r="AY294" s="43">
        <f t="shared" si="724"/>
        <v>9583</v>
      </c>
      <c r="AZ294" s="43">
        <f t="shared" si="724"/>
        <v>0.24</v>
      </c>
      <c r="BA294" s="43">
        <f t="shared" si="725"/>
        <v>9583.24</v>
      </c>
      <c r="BB294" s="60">
        <v>9440.4499999999989</v>
      </c>
      <c r="BC294" s="60"/>
      <c r="BD294" s="60">
        <f t="shared" si="726"/>
        <v>142.55000000000109</v>
      </c>
      <c r="BE294" s="60">
        <f t="shared" si="726"/>
        <v>0.24</v>
      </c>
      <c r="BF294" s="60">
        <f t="shared" si="727"/>
        <v>1888.09</v>
      </c>
      <c r="BG294" s="60">
        <f t="shared" si="727"/>
        <v>0</v>
      </c>
      <c r="BH294" s="43">
        <v>872.77</v>
      </c>
      <c r="BI294" s="43">
        <v>0</v>
      </c>
      <c r="BJ294" s="43">
        <v>4958.76</v>
      </c>
      <c r="BK294" s="43"/>
      <c r="BL294" s="43">
        <f t="shared" si="739"/>
        <v>15414.53</v>
      </c>
      <c r="BM294" s="43">
        <f t="shared" si="739"/>
        <v>0.24</v>
      </c>
      <c r="BN294" s="43">
        <f t="shared" si="751"/>
        <v>15414.77</v>
      </c>
      <c r="BO294" s="43">
        <v>13867.35</v>
      </c>
      <c r="BP294" s="93"/>
      <c r="BQ294" s="43">
        <f t="shared" si="752"/>
        <v>1547.1800000000003</v>
      </c>
      <c r="BR294" s="43">
        <f t="shared" si="752"/>
        <v>0.24</v>
      </c>
      <c r="BS294" s="43">
        <f t="shared" si="753"/>
        <v>1260.67</v>
      </c>
      <c r="BT294" s="43">
        <f t="shared" si="753"/>
        <v>0</v>
      </c>
      <c r="BU294" s="43">
        <v>0</v>
      </c>
      <c r="BV294" s="43">
        <v>0</v>
      </c>
      <c r="BW294" s="43">
        <v>938</v>
      </c>
      <c r="BX294" s="43">
        <v>8.76</v>
      </c>
      <c r="BY294" s="43"/>
      <c r="BZ294" s="43"/>
      <c r="CA294" s="43">
        <v>16352.53</v>
      </c>
      <c r="CB294" s="43">
        <v>9</v>
      </c>
      <c r="CC294" s="92">
        <v>17987.78</v>
      </c>
      <c r="CD294" s="92">
        <v>10.35</v>
      </c>
      <c r="CE294" s="92">
        <v>1499</v>
      </c>
      <c r="CF294" s="92">
        <v>1</v>
      </c>
      <c r="CG294" s="92">
        <f t="shared" si="754"/>
        <v>4088.13</v>
      </c>
      <c r="CH294" s="92">
        <f t="shared" si="754"/>
        <v>2.25</v>
      </c>
      <c r="CI294" s="43"/>
      <c r="CJ294" s="43"/>
      <c r="CK294" s="72">
        <f>4200-100-100-200</f>
        <v>3800</v>
      </c>
      <c r="CL294" s="43">
        <v>23</v>
      </c>
      <c r="CM294" s="43"/>
      <c r="CN294" s="43"/>
      <c r="CO294" s="43">
        <v>13500</v>
      </c>
      <c r="CP294" s="43">
        <v>110</v>
      </c>
      <c r="CQ294" s="43">
        <f t="shared" si="755"/>
        <v>15200</v>
      </c>
      <c r="CR294" s="43">
        <f t="shared" si="755"/>
        <v>92</v>
      </c>
      <c r="CS294" s="43">
        <f t="shared" si="756"/>
        <v>13500</v>
      </c>
      <c r="CT294" s="43">
        <f t="shared" si="756"/>
        <v>92</v>
      </c>
      <c r="CU294" s="43">
        <f t="shared" si="756"/>
        <v>13500</v>
      </c>
      <c r="CV294" s="43">
        <f t="shared" si="756"/>
        <v>92</v>
      </c>
      <c r="CW294" s="43">
        <f t="shared" si="757"/>
        <v>3375</v>
      </c>
      <c r="CX294" s="43">
        <f t="shared" si="757"/>
        <v>23</v>
      </c>
      <c r="CY294" s="43"/>
      <c r="CZ294" s="43"/>
      <c r="DA294" s="43">
        <f t="shared" si="758"/>
        <v>8674</v>
      </c>
      <c r="DB294" s="43">
        <f t="shared" si="758"/>
        <v>47</v>
      </c>
      <c r="DC294" s="43">
        <v>8613.4599999999991</v>
      </c>
      <c r="DD294" s="43">
        <v>23</v>
      </c>
      <c r="DE294" s="43">
        <f t="shared" si="759"/>
        <v>60.540000000000873</v>
      </c>
      <c r="DF294" s="43">
        <f t="shared" si="759"/>
        <v>24</v>
      </c>
      <c r="DG294" s="43">
        <f t="shared" si="824"/>
        <v>3250</v>
      </c>
      <c r="DH294" s="43">
        <f t="shared" si="824"/>
        <v>23</v>
      </c>
      <c r="DI294" s="43">
        <v>3239.69</v>
      </c>
      <c r="DJ294" s="43">
        <f>+DH294-DF294+1</f>
        <v>0</v>
      </c>
      <c r="DK294" s="43"/>
      <c r="DL294" s="43">
        <v>45</v>
      </c>
      <c r="DM294" s="43">
        <f t="shared" si="760"/>
        <v>11913.69</v>
      </c>
      <c r="DN294" s="43">
        <f t="shared" si="760"/>
        <v>92</v>
      </c>
      <c r="DO294" s="115">
        <f>11388+214.62</f>
        <v>11602.62</v>
      </c>
      <c r="DP294" s="114">
        <v>86.16</v>
      </c>
      <c r="DQ294" s="60">
        <f t="shared" si="761"/>
        <v>311.07</v>
      </c>
      <c r="DR294" s="60">
        <f t="shared" si="761"/>
        <v>5.84</v>
      </c>
      <c r="DS294" s="60">
        <f t="shared" si="762"/>
        <v>1160.2620000000002</v>
      </c>
      <c r="DT294" s="60">
        <f t="shared" si="762"/>
        <v>8.6159999999999997</v>
      </c>
      <c r="DU294" s="60">
        <f t="shared" si="763"/>
        <v>849.19200000000023</v>
      </c>
      <c r="DV294" s="60">
        <f t="shared" si="763"/>
        <v>2.7759999999999998</v>
      </c>
      <c r="DW294" s="60"/>
      <c r="DX294" s="60"/>
      <c r="DY294" s="60">
        <f t="shared" si="827"/>
        <v>849.19</v>
      </c>
      <c r="DZ294" s="60">
        <f>ROUND(DV294+DX294,2)-2.78</f>
        <v>0</v>
      </c>
      <c r="EA294" s="60"/>
      <c r="EB294" s="60"/>
      <c r="EC294" s="43">
        <f t="shared" si="764"/>
        <v>12762.880000000001</v>
      </c>
      <c r="ED294" s="43">
        <f t="shared" si="764"/>
        <v>92</v>
      </c>
      <c r="EE294" s="43">
        <v>11667.79</v>
      </c>
      <c r="EF294" s="43">
        <v>86.92</v>
      </c>
      <c r="EG294" s="43">
        <f t="shared" si="795"/>
        <v>91.42</v>
      </c>
      <c r="EH294" s="43">
        <f t="shared" si="795"/>
        <v>94.48</v>
      </c>
      <c r="EI294" s="43">
        <f t="shared" si="765"/>
        <v>1095.0899999999999</v>
      </c>
      <c r="EJ294" s="43">
        <f t="shared" si="765"/>
        <v>5.08</v>
      </c>
      <c r="EK294" s="43">
        <f t="shared" si="766"/>
        <v>1060.71</v>
      </c>
      <c r="EL294" s="43">
        <f t="shared" si="766"/>
        <v>7.9</v>
      </c>
      <c r="EM294" s="43">
        <f t="shared" si="767"/>
        <v>-34.379999999999882</v>
      </c>
      <c r="EN294" s="43">
        <f t="shared" si="767"/>
        <v>2.8200000000000003</v>
      </c>
      <c r="EO294" s="43">
        <v>187.12</v>
      </c>
      <c r="EP294" s="43">
        <v>30</v>
      </c>
      <c r="EQ294" s="5"/>
      <c r="ER294" s="5"/>
      <c r="ES294" s="45">
        <v>1086.31</v>
      </c>
      <c r="ET294" s="5"/>
      <c r="EU294" s="5">
        <f t="shared" si="814"/>
        <v>49.999999999998977</v>
      </c>
      <c r="EV294" s="5">
        <f t="shared" si="814"/>
        <v>-12</v>
      </c>
      <c r="EW294" s="54">
        <v>13000</v>
      </c>
      <c r="EX294" s="54">
        <v>110</v>
      </c>
      <c r="EY294" s="54">
        <v>15000</v>
      </c>
      <c r="EZ294" s="54">
        <v>2</v>
      </c>
    </row>
    <row r="295" spans="1:160" s="65" customFormat="1" ht="37.5" x14ac:dyDescent="0.25">
      <c r="A295" s="68">
        <v>5</v>
      </c>
      <c r="B295" s="68" t="s">
        <v>591</v>
      </c>
      <c r="C295" s="91" t="s">
        <v>313</v>
      </c>
      <c r="D295" s="67" t="s">
        <v>592</v>
      </c>
      <c r="E295" s="69" t="s">
        <v>593</v>
      </c>
      <c r="F295" s="40">
        <v>6792.91</v>
      </c>
      <c r="G295" s="40">
        <v>0</v>
      </c>
      <c r="H295" s="40">
        <v>6792.91</v>
      </c>
      <c r="I295" s="70">
        <v>0</v>
      </c>
      <c r="J295" s="71">
        <v>8000</v>
      </c>
      <c r="K295" s="71"/>
      <c r="L295" s="71"/>
      <c r="M295" s="71">
        <f t="shared" si="818"/>
        <v>8000</v>
      </c>
      <c r="N295" s="71"/>
      <c r="O295" s="71"/>
      <c r="P295" s="71"/>
      <c r="Q295" s="71">
        <f t="shared" si="819"/>
        <v>0</v>
      </c>
      <c r="R295" s="71">
        <f t="shared" si="826"/>
        <v>8000</v>
      </c>
      <c r="S295" s="71">
        <v>0</v>
      </c>
      <c r="T295" s="92"/>
      <c r="U295" s="92"/>
      <c r="V295" s="70">
        <f t="shared" si="820"/>
        <v>7188.94</v>
      </c>
      <c r="W295" s="40">
        <f t="shared" si="821"/>
        <v>0</v>
      </c>
      <c r="X295" s="43">
        <f t="shared" si="716"/>
        <v>811.0600000000004</v>
      </c>
      <c r="Y295" s="43">
        <f t="shared" si="716"/>
        <v>0</v>
      </c>
      <c r="Z295" s="43">
        <v>7588.94</v>
      </c>
      <c r="AA295" s="43"/>
      <c r="AB295" s="43">
        <f t="shared" si="742"/>
        <v>7588.94</v>
      </c>
      <c r="AC295" s="43">
        <f t="shared" si="743"/>
        <v>0</v>
      </c>
      <c r="AD295" s="131">
        <f>IF(X295&gt;0,V295,R295)+400</f>
        <v>7588.94</v>
      </c>
      <c r="AE295" s="71">
        <f t="shared" si="822"/>
        <v>0</v>
      </c>
      <c r="AF295" s="71">
        <f t="shared" si="718"/>
        <v>0</v>
      </c>
      <c r="AG295" s="43">
        <f t="shared" si="719"/>
        <v>1897</v>
      </c>
      <c r="AH295" s="43">
        <f t="shared" si="719"/>
        <v>0</v>
      </c>
      <c r="AI295" s="93">
        <f t="shared" si="720"/>
        <v>632</v>
      </c>
      <c r="AJ295" s="43">
        <f t="shared" si="720"/>
        <v>0</v>
      </c>
      <c r="AK295" s="43"/>
      <c r="AL295" s="43"/>
      <c r="AM295" s="43">
        <f t="shared" si="721"/>
        <v>1897.24</v>
      </c>
      <c r="AN295" s="43">
        <f t="shared" si="722"/>
        <v>0</v>
      </c>
      <c r="AO295" s="43"/>
      <c r="AP295" s="43"/>
      <c r="AQ295" s="43">
        <f t="shared" si="723"/>
        <v>3794.24</v>
      </c>
      <c r="AR295" s="43">
        <f t="shared" si="723"/>
        <v>0</v>
      </c>
      <c r="AS295" s="43"/>
      <c r="AT295" s="43"/>
      <c r="AU295" s="43">
        <f t="shared" si="804"/>
        <v>1897.24</v>
      </c>
      <c r="AV295" s="43">
        <f>ROUND(AE295*25%,2)</f>
        <v>0</v>
      </c>
      <c r="AW295" s="43"/>
      <c r="AX295" s="43"/>
      <c r="AY295" s="43">
        <f t="shared" si="724"/>
        <v>6323.48</v>
      </c>
      <c r="AZ295" s="43">
        <f t="shared" si="724"/>
        <v>0</v>
      </c>
      <c r="BA295" s="43">
        <f t="shared" si="725"/>
        <v>6323.48</v>
      </c>
      <c r="BB295" s="60">
        <v>6163.63</v>
      </c>
      <c r="BC295" s="60"/>
      <c r="BD295" s="60">
        <f t="shared" si="726"/>
        <v>159.84999999999945</v>
      </c>
      <c r="BE295" s="60">
        <f t="shared" si="726"/>
        <v>0</v>
      </c>
      <c r="BF295" s="60">
        <f t="shared" si="727"/>
        <v>1232.73</v>
      </c>
      <c r="BG295" s="60">
        <f t="shared" si="727"/>
        <v>0</v>
      </c>
      <c r="BH295" s="43">
        <v>536.44000000000005</v>
      </c>
      <c r="BI295" s="43">
        <v>0</v>
      </c>
      <c r="BJ295" s="43">
        <v>2418.35</v>
      </c>
      <c r="BK295" s="43"/>
      <c r="BL295" s="43">
        <f t="shared" si="739"/>
        <v>9278.27</v>
      </c>
      <c r="BM295" s="43">
        <f t="shared" si="739"/>
        <v>0</v>
      </c>
      <c r="BN295" s="43">
        <f t="shared" si="751"/>
        <v>9278.27</v>
      </c>
      <c r="BO295" s="43">
        <v>8587.7000000000007</v>
      </c>
      <c r="BP295" s="93"/>
      <c r="BQ295" s="43">
        <f t="shared" si="752"/>
        <v>690.56999999999971</v>
      </c>
      <c r="BR295" s="43">
        <f t="shared" si="752"/>
        <v>0</v>
      </c>
      <c r="BS295" s="43">
        <f t="shared" si="753"/>
        <v>780.7</v>
      </c>
      <c r="BT295" s="43">
        <f t="shared" si="753"/>
        <v>0</v>
      </c>
      <c r="BU295" s="43">
        <f>ROUND(BS295-BQ295,2)</f>
        <v>90.13</v>
      </c>
      <c r="BV295" s="43">
        <v>0</v>
      </c>
      <c r="BW295" s="43">
        <v>380</v>
      </c>
      <c r="BX295" s="43"/>
      <c r="BY295" s="43"/>
      <c r="BZ295" s="43"/>
      <c r="CA295" s="43">
        <v>9748.4</v>
      </c>
      <c r="CB295" s="43">
        <v>0</v>
      </c>
      <c r="CC295" s="92">
        <v>10723.24</v>
      </c>
      <c r="CD295" s="92">
        <v>0</v>
      </c>
      <c r="CE295" s="92">
        <v>894</v>
      </c>
      <c r="CF295" s="92">
        <v>0</v>
      </c>
      <c r="CG295" s="92">
        <f t="shared" si="754"/>
        <v>2437.1</v>
      </c>
      <c r="CH295" s="92">
        <f t="shared" si="754"/>
        <v>0</v>
      </c>
      <c r="CI295" s="43"/>
      <c r="CJ295" s="43"/>
      <c r="CK295" s="72">
        <f>2623-100-123</f>
        <v>2400</v>
      </c>
      <c r="CL295" s="43">
        <v>0</v>
      </c>
      <c r="CM295" s="43"/>
      <c r="CN295" s="43"/>
      <c r="CO295" s="43">
        <v>9789.39</v>
      </c>
      <c r="CP295" s="43"/>
      <c r="CQ295" s="43">
        <f t="shared" si="755"/>
        <v>9600</v>
      </c>
      <c r="CR295" s="43">
        <f t="shared" si="755"/>
        <v>0</v>
      </c>
      <c r="CS295" s="43">
        <f t="shared" si="756"/>
        <v>9600</v>
      </c>
      <c r="CT295" s="43">
        <f t="shared" si="756"/>
        <v>0</v>
      </c>
      <c r="CU295" s="43">
        <f t="shared" si="756"/>
        <v>9600</v>
      </c>
      <c r="CV295" s="43">
        <f t="shared" si="756"/>
        <v>0</v>
      </c>
      <c r="CW295" s="43">
        <f t="shared" si="757"/>
        <v>2400</v>
      </c>
      <c r="CX295" s="43">
        <f t="shared" si="757"/>
        <v>0</v>
      </c>
      <c r="CY295" s="43"/>
      <c r="CZ295" s="43"/>
      <c r="DA295" s="43">
        <f t="shared" si="758"/>
        <v>5694</v>
      </c>
      <c r="DB295" s="43">
        <f t="shared" si="758"/>
        <v>0</v>
      </c>
      <c r="DC295" s="43">
        <v>5506.71</v>
      </c>
      <c r="DD295" s="43">
        <v>0</v>
      </c>
      <c r="DE295" s="43">
        <f t="shared" si="759"/>
        <v>187.28999999999996</v>
      </c>
      <c r="DF295" s="43">
        <f t="shared" si="759"/>
        <v>0</v>
      </c>
      <c r="DG295" s="43">
        <f t="shared" si="824"/>
        <v>2400</v>
      </c>
      <c r="DH295" s="43">
        <f t="shared" si="824"/>
        <v>0</v>
      </c>
      <c r="DI295" s="43">
        <f t="shared" si="825"/>
        <v>2212.71</v>
      </c>
      <c r="DJ295" s="43">
        <f>+DH295-DF295</f>
        <v>0</v>
      </c>
      <c r="DK295" s="43"/>
      <c r="DL295" s="43"/>
      <c r="DM295" s="43">
        <f t="shared" si="760"/>
        <v>7906.71</v>
      </c>
      <c r="DN295" s="43">
        <f t="shared" si="760"/>
        <v>0</v>
      </c>
      <c r="DO295" s="115">
        <v>7813.64</v>
      </c>
      <c r="DP295" s="114">
        <v>0</v>
      </c>
      <c r="DQ295" s="60">
        <f t="shared" si="761"/>
        <v>93.07</v>
      </c>
      <c r="DR295" s="60">
        <f t="shared" si="761"/>
        <v>0</v>
      </c>
      <c r="DS295" s="60">
        <f t="shared" si="762"/>
        <v>781.36400000000003</v>
      </c>
      <c r="DT295" s="60">
        <f t="shared" si="762"/>
        <v>0</v>
      </c>
      <c r="DU295" s="60">
        <f t="shared" si="763"/>
        <v>688.2940000000001</v>
      </c>
      <c r="DV295" s="60">
        <f t="shared" si="763"/>
        <v>0</v>
      </c>
      <c r="DW295" s="60"/>
      <c r="DX295" s="60"/>
      <c r="DY295" s="60">
        <f t="shared" si="827"/>
        <v>688.29</v>
      </c>
      <c r="DZ295" s="60">
        <f t="shared" si="827"/>
        <v>0</v>
      </c>
      <c r="EA295" s="60"/>
      <c r="EB295" s="60"/>
      <c r="EC295" s="43">
        <f t="shared" si="764"/>
        <v>8595</v>
      </c>
      <c r="ED295" s="43">
        <f t="shared" si="764"/>
        <v>0</v>
      </c>
      <c r="EE295" s="43">
        <v>7829.49</v>
      </c>
      <c r="EF295" s="43">
        <v>0</v>
      </c>
      <c r="EG295" s="43">
        <f t="shared" si="795"/>
        <v>91.09</v>
      </c>
      <c r="EH295" s="43" t="e">
        <f t="shared" si="795"/>
        <v>#DIV/0!</v>
      </c>
      <c r="EI295" s="43">
        <f t="shared" si="765"/>
        <v>765.51</v>
      </c>
      <c r="EJ295" s="43">
        <f t="shared" si="765"/>
        <v>0</v>
      </c>
      <c r="EK295" s="43">
        <f t="shared" si="766"/>
        <v>711.77</v>
      </c>
      <c r="EL295" s="43">
        <f t="shared" si="766"/>
        <v>0</v>
      </c>
      <c r="EM295" s="43">
        <f t="shared" si="767"/>
        <v>-53.740000000000009</v>
      </c>
      <c r="EN295" s="43">
        <f t="shared" si="767"/>
        <v>0</v>
      </c>
      <c r="EO295" s="43">
        <v>225</v>
      </c>
      <c r="EP295" s="43">
        <v>0</v>
      </c>
      <c r="EQ295" s="5"/>
      <c r="ER295" s="5"/>
      <c r="ES295" s="5"/>
      <c r="ET295" s="5"/>
      <c r="EU295" s="5">
        <f t="shared" si="814"/>
        <v>969.38999999999942</v>
      </c>
      <c r="EV295" s="5">
        <f t="shared" si="814"/>
        <v>0</v>
      </c>
      <c r="EW295" s="54">
        <v>9789.39</v>
      </c>
      <c r="EX295" s="54">
        <v>0</v>
      </c>
      <c r="EY295" s="54">
        <v>11257.8</v>
      </c>
      <c r="EZ295" s="54">
        <v>0</v>
      </c>
    </row>
    <row r="296" spans="1:160" s="65" customFormat="1" ht="37.5" x14ac:dyDescent="0.25">
      <c r="A296" s="68">
        <v>6</v>
      </c>
      <c r="B296" s="68" t="s">
        <v>594</v>
      </c>
      <c r="C296" s="91" t="s">
        <v>107</v>
      </c>
      <c r="D296" s="67" t="s">
        <v>595</v>
      </c>
      <c r="E296" s="69" t="s">
        <v>596</v>
      </c>
      <c r="F296" s="40">
        <v>7739.75</v>
      </c>
      <c r="G296" s="40">
        <v>2.29</v>
      </c>
      <c r="H296" s="40">
        <v>7739.75</v>
      </c>
      <c r="I296" s="70">
        <v>2.29</v>
      </c>
      <c r="J296" s="71">
        <v>7100</v>
      </c>
      <c r="K296" s="71"/>
      <c r="L296" s="71"/>
      <c r="M296" s="71">
        <f t="shared" si="818"/>
        <v>7100</v>
      </c>
      <c r="N296" s="71"/>
      <c r="O296" s="71"/>
      <c r="P296" s="71"/>
      <c r="Q296" s="71">
        <f t="shared" si="819"/>
        <v>0</v>
      </c>
      <c r="R296" s="71">
        <f t="shared" si="826"/>
        <v>7100</v>
      </c>
      <c r="S296" s="71">
        <v>75</v>
      </c>
      <c r="T296" s="92"/>
      <c r="U296" s="92"/>
      <c r="V296" s="70">
        <f t="shared" si="820"/>
        <v>8190.98</v>
      </c>
      <c r="W296" s="40">
        <f t="shared" si="821"/>
        <v>2.36</v>
      </c>
      <c r="X296" s="43">
        <f t="shared" si="716"/>
        <v>-1090.9799999999996</v>
      </c>
      <c r="Y296" s="43">
        <f t="shared" si="716"/>
        <v>72.64</v>
      </c>
      <c r="Z296" s="43">
        <v>7100</v>
      </c>
      <c r="AA296" s="43"/>
      <c r="AB296" s="43">
        <f t="shared" si="742"/>
        <v>7100</v>
      </c>
      <c r="AC296" s="43">
        <f t="shared" si="743"/>
        <v>0</v>
      </c>
      <c r="AD296" s="71">
        <f t="shared" si="822"/>
        <v>7100</v>
      </c>
      <c r="AE296" s="71">
        <f t="shared" si="822"/>
        <v>2.36</v>
      </c>
      <c r="AF296" s="71">
        <f t="shared" si="718"/>
        <v>67.67</v>
      </c>
      <c r="AG296" s="43">
        <f t="shared" si="719"/>
        <v>1775</v>
      </c>
      <c r="AH296" s="43">
        <f t="shared" si="719"/>
        <v>1</v>
      </c>
      <c r="AI296" s="93">
        <f t="shared" si="720"/>
        <v>592</v>
      </c>
      <c r="AJ296" s="43">
        <f t="shared" si="720"/>
        <v>0</v>
      </c>
      <c r="AK296" s="43"/>
      <c r="AL296" s="43"/>
      <c r="AM296" s="43">
        <f t="shared" si="721"/>
        <v>1775</v>
      </c>
      <c r="AN296" s="43">
        <f t="shared" si="722"/>
        <v>0.56999999999999995</v>
      </c>
      <c r="AO296" s="43"/>
      <c r="AP296" s="43"/>
      <c r="AQ296" s="43">
        <f t="shared" si="723"/>
        <v>3550</v>
      </c>
      <c r="AR296" s="43">
        <f t="shared" si="723"/>
        <v>1.5699999999999998</v>
      </c>
      <c r="AS296" s="43"/>
      <c r="AT296" s="43"/>
      <c r="AU296" s="43">
        <f t="shared" si="804"/>
        <v>1775</v>
      </c>
      <c r="AV296" s="43">
        <f t="shared" si="804"/>
        <v>0.59</v>
      </c>
      <c r="AW296" s="43">
        <v>28.6</v>
      </c>
      <c r="AX296" s="43">
        <v>20</v>
      </c>
      <c r="AY296" s="43">
        <f t="shared" si="724"/>
        <v>5945.6</v>
      </c>
      <c r="AZ296" s="43">
        <f t="shared" si="724"/>
        <v>22.16</v>
      </c>
      <c r="BA296" s="43">
        <f t="shared" si="725"/>
        <v>5967.76</v>
      </c>
      <c r="BB296" s="60">
        <v>5695.07</v>
      </c>
      <c r="BC296" s="60">
        <v>48.53</v>
      </c>
      <c r="BD296" s="60">
        <f t="shared" si="726"/>
        <v>250.53000000000065</v>
      </c>
      <c r="BE296" s="60">
        <f t="shared" si="726"/>
        <v>-26.37</v>
      </c>
      <c r="BF296" s="60">
        <f t="shared" si="727"/>
        <v>1139.01</v>
      </c>
      <c r="BG296" s="60">
        <f t="shared" si="727"/>
        <v>9.7100000000000009</v>
      </c>
      <c r="BH296" s="43">
        <v>444.24</v>
      </c>
      <c r="BI296" s="43">
        <v>20.29</v>
      </c>
      <c r="BJ296" s="43">
        <v>2223.1999999999998</v>
      </c>
      <c r="BK296" s="43"/>
      <c r="BL296" s="43">
        <f t="shared" si="739"/>
        <v>8613.0400000000009</v>
      </c>
      <c r="BM296" s="43">
        <f t="shared" si="739"/>
        <v>42.45</v>
      </c>
      <c r="BN296" s="43">
        <f t="shared" si="751"/>
        <v>8655.4900000000016</v>
      </c>
      <c r="BO296" s="43">
        <v>5865.42</v>
      </c>
      <c r="BP296" s="93">
        <v>19.95</v>
      </c>
      <c r="BQ296" s="72">
        <f t="shared" si="752"/>
        <v>2747.6200000000008</v>
      </c>
      <c r="BR296" s="43">
        <f t="shared" si="752"/>
        <v>22.500000000000004</v>
      </c>
      <c r="BS296" s="43">
        <f t="shared" si="753"/>
        <v>533.22</v>
      </c>
      <c r="BT296" s="43">
        <f t="shared" si="753"/>
        <v>1.81</v>
      </c>
      <c r="BU296" s="43">
        <v>0</v>
      </c>
      <c r="BV296" s="43">
        <v>0</v>
      </c>
      <c r="BW296" s="43">
        <v>710.16</v>
      </c>
      <c r="BX296" s="43"/>
      <c r="BY296" s="43"/>
      <c r="BZ296" s="43"/>
      <c r="CA296" s="43">
        <v>9323.2000000000007</v>
      </c>
      <c r="CB296" s="43">
        <v>42.45</v>
      </c>
      <c r="CC296" s="92">
        <v>10255.52</v>
      </c>
      <c r="CD296" s="92">
        <v>48.82</v>
      </c>
      <c r="CE296" s="92">
        <v>855</v>
      </c>
      <c r="CF296" s="92">
        <v>4</v>
      </c>
      <c r="CG296" s="92">
        <f t="shared" si="754"/>
        <v>2330.8000000000002</v>
      </c>
      <c r="CH296" s="92">
        <f t="shared" si="754"/>
        <v>10.61</v>
      </c>
      <c r="CI296" s="43"/>
      <c r="CJ296" s="43"/>
      <c r="CK296" s="72">
        <f>2100-100</f>
        <v>2000</v>
      </c>
      <c r="CL296" s="43">
        <v>0</v>
      </c>
      <c r="CM296" s="43"/>
      <c r="CN296" s="43"/>
      <c r="CO296" s="43">
        <v>8300</v>
      </c>
      <c r="CP296" s="43">
        <v>25</v>
      </c>
      <c r="CQ296" s="43">
        <f t="shared" si="755"/>
        <v>8000</v>
      </c>
      <c r="CR296" s="43">
        <f>ROUND(CL296/3*12,2)+4</f>
        <v>4</v>
      </c>
      <c r="CS296" s="43">
        <f t="shared" si="756"/>
        <v>8000</v>
      </c>
      <c r="CT296" s="43">
        <f t="shared" si="756"/>
        <v>4</v>
      </c>
      <c r="CU296" s="43">
        <f t="shared" si="756"/>
        <v>8000</v>
      </c>
      <c r="CV296" s="72">
        <f>IF(CR296&lt;CT296,CR296,CT296)+34</f>
        <v>38</v>
      </c>
      <c r="CW296" s="43">
        <f t="shared" si="757"/>
        <v>2000</v>
      </c>
      <c r="CX296" s="43">
        <f>ROUND(CV296*25%,2)-9.5</f>
        <v>0</v>
      </c>
      <c r="CY296" s="43"/>
      <c r="CZ296" s="43">
        <v>34</v>
      </c>
      <c r="DA296" s="43">
        <f t="shared" si="758"/>
        <v>4855</v>
      </c>
      <c r="DB296" s="43">
        <f t="shared" si="758"/>
        <v>38</v>
      </c>
      <c r="DC296" s="43">
        <v>4263.8899999999994</v>
      </c>
      <c r="DD296" s="43">
        <v>33.92</v>
      </c>
      <c r="DE296" s="43">
        <f t="shared" si="759"/>
        <v>591.11000000000058</v>
      </c>
      <c r="DF296" s="43">
        <f t="shared" si="759"/>
        <v>4.0799999999999983</v>
      </c>
      <c r="DG296" s="43">
        <f t="shared" si="824"/>
        <v>2000</v>
      </c>
      <c r="DH296" s="43">
        <f t="shared" si="824"/>
        <v>9</v>
      </c>
      <c r="DI296" s="43">
        <f t="shared" si="825"/>
        <v>1408.8899999999994</v>
      </c>
      <c r="DJ296" s="74">
        <f>+DH296-DF296-4.92</f>
        <v>0</v>
      </c>
      <c r="DK296" s="74"/>
      <c r="DL296" s="74"/>
      <c r="DM296" s="43">
        <f t="shared" si="760"/>
        <v>6263.8899999999994</v>
      </c>
      <c r="DN296" s="43">
        <f t="shared" si="760"/>
        <v>38</v>
      </c>
      <c r="DO296" s="115">
        <f>284.82+5501.7</f>
        <v>5786.5199999999995</v>
      </c>
      <c r="DP296" s="114">
        <v>36.409999999999997</v>
      </c>
      <c r="DQ296" s="60">
        <f t="shared" si="761"/>
        <v>477.37</v>
      </c>
      <c r="DR296" s="60">
        <f t="shared" si="761"/>
        <v>1.59</v>
      </c>
      <c r="DS296" s="60">
        <f t="shared" si="762"/>
        <v>578.65199999999993</v>
      </c>
      <c r="DT296" s="60">
        <f t="shared" si="762"/>
        <v>3.6409999999999996</v>
      </c>
      <c r="DU296" s="60">
        <f t="shared" si="763"/>
        <v>101.28199999999993</v>
      </c>
      <c r="DV296" s="60">
        <f t="shared" si="763"/>
        <v>2.0509999999999993</v>
      </c>
      <c r="DW296" s="60"/>
      <c r="DX296" s="60"/>
      <c r="DY296" s="60">
        <f t="shared" si="827"/>
        <v>101.28</v>
      </c>
      <c r="DZ296" s="60">
        <f>ROUND(DV296+DX296,2)-2.05</f>
        <v>0</v>
      </c>
      <c r="EA296" s="60"/>
      <c r="EB296" s="60"/>
      <c r="EC296" s="43">
        <f t="shared" si="764"/>
        <v>6365.1699999999992</v>
      </c>
      <c r="ED296" s="43">
        <f t="shared" si="764"/>
        <v>38</v>
      </c>
      <c r="EE296" s="43">
        <v>6258.5300000000007</v>
      </c>
      <c r="EF296" s="43">
        <v>36.409999999999997</v>
      </c>
      <c r="EG296" s="43">
        <f t="shared" si="795"/>
        <v>98.32</v>
      </c>
      <c r="EH296" s="43">
        <f t="shared" si="795"/>
        <v>95.82</v>
      </c>
      <c r="EI296" s="43">
        <f t="shared" si="765"/>
        <v>106.64</v>
      </c>
      <c r="EJ296" s="43">
        <f t="shared" si="765"/>
        <v>1.59</v>
      </c>
      <c r="EK296" s="43">
        <f t="shared" si="766"/>
        <v>568.96</v>
      </c>
      <c r="EL296" s="43">
        <f t="shared" si="766"/>
        <v>3.31</v>
      </c>
      <c r="EM296" s="43">
        <f t="shared" si="767"/>
        <v>462.32000000000005</v>
      </c>
      <c r="EN296" s="43">
        <f t="shared" si="767"/>
        <v>1.72</v>
      </c>
      <c r="EO296" s="43">
        <v>1634.83</v>
      </c>
      <c r="EP296" s="43">
        <v>0</v>
      </c>
      <c r="EQ296" s="5"/>
      <c r="ER296" s="5"/>
      <c r="ES296" s="5"/>
      <c r="ET296" s="5"/>
      <c r="EU296" s="5">
        <f t="shared" si="814"/>
        <v>200.00000000000091</v>
      </c>
      <c r="EV296" s="5">
        <f t="shared" si="814"/>
        <v>-2</v>
      </c>
      <c r="EW296" s="54">
        <v>8200</v>
      </c>
      <c r="EX296" s="55">
        <v>36</v>
      </c>
      <c r="EY296" s="54">
        <v>9000</v>
      </c>
      <c r="EZ296" s="54">
        <v>0</v>
      </c>
      <c r="FA296" s="65">
        <v>8200</v>
      </c>
    </row>
    <row r="297" spans="1:160" ht="37.5" x14ac:dyDescent="0.25">
      <c r="A297" s="68">
        <v>7</v>
      </c>
      <c r="B297" s="68" t="s">
        <v>597</v>
      </c>
      <c r="C297" s="91" t="s">
        <v>380</v>
      </c>
      <c r="D297" s="67" t="s">
        <v>598</v>
      </c>
      <c r="E297" s="69" t="s">
        <v>599</v>
      </c>
      <c r="F297" s="40">
        <v>6328.9599999999991</v>
      </c>
      <c r="G297" s="40">
        <v>0</v>
      </c>
      <c r="H297" s="40">
        <v>6743.9999999999991</v>
      </c>
      <c r="I297" s="70">
        <v>0</v>
      </c>
      <c r="J297" s="71">
        <v>500</v>
      </c>
      <c r="K297" s="71"/>
      <c r="L297" s="71"/>
      <c r="M297" s="71">
        <f t="shared" si="818"/>
        <v>500</v>
      </c>
      <c r="N297" s="71">
        <v>6200</v>
      </c>
      <c r="O297" s="71"/>
      <c r="P297" s="71"/>
      <c r="Q297" s="71">
        <f t="shared" si="819"/>
        <v>6200</v>
      </c>
      <c r="R297" s="71">
        <f t="shared" si="826"/>
        <v>6700</v>
      </c>
      <c r="S297" s="71">
        <v>0</v>
      </c>
      <c r="T297" s="92"/>
      <c r="U297" s="92"/>
      <c r="V297" s="70">
        <f t="shared" si="820"/>
        <v>7137.18</v>
      </c>
      <c r="W297" s="40">
        <f t="shared" si="821"/>
        <v>0</v>
      </c>
      <c r="X297" s="43">
        <f t="shared" si="716"/>
        <v>-437.18000000000029</v>
      </c>
      <c r="Y297" s="43">
        <f t="shared" si="716"/>
        <v>0</v>
      </c>
      <c r="Z297" s="43">
        <v>500</v>
      </c>
      <c r="AA297" s="43">
        <v>6200</v>
      </c>
      <c r="AB297" s="43">
        <f t="shared" si="742"/>
        <v>6700</v>
      </c>
      <c r="AC297" s="43">
        <f t="shared" si="743"/>
        <v>0</v>
      </c>
      <c r="AD297" s="71">
        <f t="shared" si="822"/>
        <v>6700</v>
      </c>
      <c r="AE297" s="71">
        <f t="shared" si="822"/>
        <v>0</v>
      </c>
      <c r="AF297" s="71">
        <f t="shared" si="718"/>
        <v>0</v>
      </c>
      <c r="AG297" s="43">
        <f t="shared" si="719"/>
        <v>1675</v>
      </c>
      <c r="AH297" s="43">
        <f t="shared" si="719"/>
        <v>0</v>
      </c>
      <c r="AI297" s="93">
        <f t="shared" si="720"/>
        <v>558</v>
      </c>
      <c r="AJ297" s="43">
        <f t="shared" si="720"/>
        <v>0</v>
      </c>
      <c r="AK297" s="43"/>
      <c r="AL297" s="43"/>
      <c r="AM297" s="43">
        <f t="shared" si="721"/>
        <v>1675</v>
      </c>
      <c r="AN297" s="43">
        <f t="shared" si="722"/>
        <v>0</v>
      </c>
      <c r="AO297" s="43"/>
      <c r="AP297" s="43"/>
      <c r="AQ297" s="43">
        <f t="shared" si="723"/>
        <v>3350</v>
      </c>
      <c r="AR297" s="43">
        <f t="shared" si="723"/>
        <v>0</v>
      </c>
      <c r="AS297" s="43"/>
      <c r="AT297" s="43"/>
      <c r="AU297" s="43">
        <f t="shared" si="804"/>
        <v>1675</v>
      </c>
      <c r="AV297" s="43">
        <f t="shared" si="804"/>
        <v>0</v>
      </c>
      <c r="AW297" s="43"/>
      <c r="AX297" s="43">
        <v>30</v>
      </c>
      <c r="AY297" s="43">
        <f t="shared" si="724"/>
        <v>5583</v>
      </c>
      <c r="AZ297" s="43">
        <f t="shared" si="724"/>
        <v>30</v>
      </c>
      <c r="BA297" s="43">
        <f t="shared" si="725"/>
        <v>5613</v>
      </c>
      <c r="BB297" s="60">
        <v>5550</v>
      </c>
      <c r="BC297" s="60"/>
      <c r="BD297" s="60">
        <f t="shared" si="726"/>
        <v>33</v>
      </c>
      <c r="BE297" s="60">
        <f t="shared" si="726"/>
        <v>30</v>
      </c>
      <c r="BF297" s="60">
        <f t="shared" si="727"/>
        <v>1110</v>
      </c>
      <c r="BG297" s="60">
        <f t="shared" si="727"/>
        <v>0</v>
      </c>
      <c r="BH297" s="43">
        <v>538.5</v>
      </c>
      <c r="BI297" s="43">
        <v>0</v>
      </c>
      <c r="BJ297" s="43">
        <v>662.44</v>
      </c>
      <c r="BK297" s="43"/>
      <c r="BL297" s="43">
        <f t="shared" si="739"/>
        <v>6783.9400000000005</v>
      </c>
      <c r="BM297" s="43">
        <f t="shared" si="739"/>
        <v>30</v>
      </c>
      <c r="BN297" s="43">
        <f t="shared" si="751"/>
        <v>6813.9400000000005</v>
      </c>
      <c r="BO297" s="43">
        <v>6588</v>
      </c>
      <c r="BP297" s="93"/>
      <c r="BQ297" s="43">
        <f t="shared" si="752"/>
        <v>195.94000000000051</v>
      </c>
      <c r="BR297" s="43">
        <f t="shared" si="752"/>
        <v>30</v>
      </c>
      <c r="BS297" s="43">
        <f t="shared" si="753"/>
        <v>598.91</v>
      </c>
      <c r="BT297" s="43">
        <f t="shared" si="753"/>
        <v>0</v>
      </c>
      <c r="BU297" s="43">
        <f>ROUND(BS297-BQ297,2)</f>
        <v>402.97</v>
      </c>
      <c r="BV297" s="43">
        <v>0</v>
      </c>
      <c r="BW297" s="43">
        <f>165.61+50</f>
        <v>215.61</v>
      </c>
      <c r="BX297" s="43"/>
      <c r="BY297" s="43"/>
      <c r="BZ297" s="43"/>
      <c r="CA297" s="43">
        <v>7402.52</v>
      </c>
      <c r="CB297" s="43">
        <v>30</v>
      </c>
      <c r="CC297" s="92">
        <v>8142.77</v>
      </c>
      <c r="CD297" s="92">
        <v>34.5</v>
      </c>
      <c r="CE297" s="92">
        <v>679</v>
      </c>
      <c r="CF297" s="92">
        <v>0</v>
      </c>
      <c r="CG297" s="92">
        <f t="shared" si="754"/>
        <v>1850.63</v>
      </c>
      <c r="CH297" s="92">
        <f t="shared" si="754"/>
        <v>7.5</v>
      </c>
      <c r="CI297" s="43"/>
      <c r="CJ297" s="43"/>
      <c r="CK297" s="72">
        <f>1950-100-150</f>
        <v>1700</v>
      </c>
      <c r="CL297" s="43">
        <v>18.5</v>
      </c>
      <c r="CM297" s="43"/>
      <c r="CN297" s="43"/>
      <c r="CO297" s="43">
        <v>7800</v>
      </c>
      <c r="CP297" s="43">
        <f>0+18.5</f>
        <v>18.5</v>
      </c>
      <c r="CQ297" s="43">
        <f t="shared" si="755"/>
        <v>6800</v>
      </c>
      <c r="CR297" s="43">
        <f t="shared" si="755"/>
        <v>74</v>
      </c>
      <c r="CS297" s="43">
        <f t="shared" si="756"/>
        <v>6800</v>
      </c>
      <c r="CT297" s="43">
        <f t="shared" si="756"/>
        <v>18.5</v>
      </c>
      <c r="CU297" s="43">
        <f t="shared" si="756"/>
        <v>6800</v>
      </c>
      <c r="CV297" s="43">
        <f t="shared" si="756"/>
        <v>18.5</v>
      </c>
      <c r="CW297" s="43">
        <f t="shared" si="757"/>
        <v>1700</v>
      </c>
      <c r="CX297" s="43">
        <f>ROUND(CV297*25%,2)-4.63</f>
        <v>0</v>
      </c>
      <c r="CY297" s="43"/>
      <c r="CZ297" s="43"/>
      <c r="DA297" s="43">
        <f t="shared" si="758"/>
        <v>4079</v>
      </c>
      <c r="DB297" s="43">
        <f t="shared" si="758"/>
        <v>18.5</v>
      </c>
      <c r="DC297" s="43">
        <v>4075.62</v>
      </c>
      <c r="DD297" s="43">
        <v>0</v>
      </c>
      <c r="DE297" s="43">
        <f t="shared" si="759"/>
        <v>3.3800000000001091</v>
      </c>
      <c r="DF297" s="43">
        <f t="shared" si="759"/>
        <v>18.5</v>
      </c>
      <c r="DG297" s="43">
        <f t="shared" si="824"/>
        <v>1700</v>
      </c>
      <c r="DH297" s="43">
        <f t="shared" si="824"/>
        <v>4.63</v>
      </c>
      <c r="DI297" s="43">
        <f t="shared" si="825"/>
        <v>1696.62</v>
      </c>
      <c r="DJ297" s="43">
        <f>+DH297-DF297+13.87</f>
        <v>0</v>
      </c>
      <c r="DK297" s="43"/>
      <c r="DL297" s="43"/>
      <c r="DM297" s="43">
        <f t="shared" si="760"/>
        <v>5775.62</v>
      </c>
      <c r="DN297" s="43">
        <f t="shared" si="760"/>
        <v>18.5</v>
      </c>
      <c r="DO297" s="115">
        <v>5757.54</v>
      </c>
      <c r="DP297" s="115">
        <v>0</v>
      </c>
      <c r="DQ297" s="60">
        <f t="shared" si="761"/>
        <v>18.079999999999998</v>
      </c>
      <c r="DR297" s="60">
        <f t="shared" si="761"/>
        <v>18.5</v>
      </c>
      <c r="DS297" s="60">
        <f t="shared" si="762"/>
        <v>575.75400000000002</v>
      </c>
      <c r="DT297" s="60">
        <f t="shared" si="762"/>
        <v>0</v>
      </c>
      <c r="DU297" s="60">
        <f t="shared" si="763"/>
        <v>557.67399999999998</v>
      </c>
      <c r="DV297" s="60">
        <f t="shared" si="763"/>
        <v>-18.5</v>
      </c>
      <c r="DW297" s="60"/>
      <c r="DX297" s="60"/>
      <c r="DY297" s="60">
        <f t="shared" si="827"/>
        <v>557.66999999999996</v>
      </c>
      <c r="DZ297" s="60">
        <v>0</v>
      </c>
      <c r="EA297" s="60"/>
      <c r="EB297" s="60"/>
      <c r="EC297" s="43">
        <f t="shared" si="764"/>
        <v>6333.29</v>
      </c>
      <c r="ED297" s="43">
        <f t="shared" si="764"/>
        <v>18.5</v>
      </c>
      <c r="EE297" s="43">
        <v>6320.99</v>
      </c>
      <c r="EF297" s="43">
        <v>18.360880000000002</v>
      </c>
      <c r="EG297" s="43">
        <f t="shared" si="795"/>
        <v>99.81</v>
      </c>
      <c r="EH297" s="43">
        <f t="shared" si="795"/>
        <v>99.25</v>
      </c>
      <c r="EI297" s="43">
        <f t="shared" si="765"/>
        <v>12.3</v>
      </c>
      <c r="EJ297" s="43">
        <f t="shared" si="765"/>
        <v>0.14000000000000001</v>
      </c>
      <c r="EK297" s="43">
        <f t="shared" si="766"/>
        <v>574.64</v>
      </c>
      <c r="EL297" s="43">
        <f t="shared" si="766"/>
        <v>1.67</v>
      </c>
      <c r="EM297" s="43">
        <f t="shared" si="767"/>
        <v>562.34</v>
      </c>
      <c r="EN297" s="43">
        <f t="shared" si="767"/>
        <v>1.5299999999999998</v>
      </c>
      <c r="EO297" s="43">
        <v>603</v>
      </c>
      <c r="EP297" s="43">
        <v>0</v>
      </c>
      <c r="EQ297" s="5"/>
      <c r="ER297" s="5"/>
      <c r="ES297" s="5"/>
      <c r="ET297" s="5"/>
      <c r="EU297" s="5">
        <f t="shared" si="814"/>
        <v>263.71000000000004</v>
      </c>
      <c r="EV297" s="5">
        <f t="shared" si="814"/>
        <v>0.17999999999999972</v>
      </c>
      <c r="EW297" s="5">
        <v>7200</v>
      </c>
      <c r="EX297" s="5">
        <v>18.68</v>
      </c>
      <c r="EY297" s="5">
        <v>7200</v>
      </c>
      <c r="EZ297" s="5">
        <v>0</v>
      </c>
    </row>
    <row r="298" spans="1:160" ht="37.5" x14ac:dyDescent="0.25">
      <c r="A298" s="68">
        <v>8</v>
      </c>
      <c r="B298" s="68" t="s">
        <v>600</v>
      </c>
      <c r="C298" s="91" t="s">
        <v>423</v>
      </c>
      <c r="D298" s="67" t="s">
        <v>601</v>
      </c>
      <c r="E298" s="69" t="s">
        <v>602</v>
      </c>
      <c r="F298" s="40">
        <v>6066.5099999999993</v>
      </c>
      <c r="G298" s="40">
        <v>48.65</v>
      </c>
      <c r="H298" s="40">
        <v>6066.5099999999993</v>
      </c>
      <c r="I298" s="70">
        <v>48.65</v>
      </c>
      <c r="J298" s="71">
        <v>0</v>
      </c>
      <c r="K298" s="71"/>
      <c r="L298" s="71"/>
      <c r="M298" s="71">
        <f t="shared" si="818"/>
        <v>0</v>
      </c>
      <c r="N298" s="71">
        <v>6945.5429999999997</v>
      </c>
      <c r="O298" s="71"/>
      <c r="P298" s="71"/>
      <c r="Q298" s="71">
        <f t="shared" si="819"/>
        <v>6945.5429999999997</v>
      </c>
      <c r="R298" s="71">
        <f t="shared" si="826"/>
        <v>6945.5429999999997</v>
      </c>
      <c r="S298" s="71">
        <v>30</v>
      </c>
      <c r="T298" s="92"/>
      <c r="U298" s="92"/>
      <c r="V298" s="70">
        <f t="shared" si="820"/>
        <v>6420.19</v>
      </c>
      <c r="W298" s="40">
        <f t="shared" si="821"/>
        <v>50.24</v>
      </c>
      <c r="X298" s="43">
        <f t="shared" si="716"/>
        <v>525.35300000000007</v>
      </c>
      <c r="Y298" s="43">
        <f t="shared" si="716"/>
        <v>-20.240000000000002</v>
      </c>
      <c r="Z298" s="43">
        <v>0</v>
      </c>
      <c r="AA298" s="43">
        <v>6420.19</v>
      </c>
      <c r="AB298" s="43">
        <f t="shared" si="742"/>
        <v>6420.19</v>
      </c>
      <c r="AC298" s="43">
        <f t="shared" si="743"/>
        <v>0</v>
      </c>
      <c r="AD298" s="71">
        <f t="shared" si="822"/>
        <v>6420.19</v>
      </c>
      <c r="AE298" s="71">
        <f t="shared" si="822"/>
        <v>30</v>
      </c>
      <c r="AF298" s="71">
        <f t="shared" si="718"/>
        <v>27.07</v>
      </c>
      <c r="AG298" s="43">
        <f t="shared" si="719"/>
        <v>1605</v>
      </c>
      <c r="AH298" s="43">
        <f t="shared" si="719"/>
        <v>8</v>
      </c>
      <c r="AI298" s="93">
        <f t="shared" si="720"/>
        <v>535</v>
      </c>
      <c r="AJ298" s="43">
        <v>0</v>
      </c>
      <c r="AK298" s="43"/>
      <c r="AL298" s="43"/>
      <c r="AM298" s="43">
        <f t="shared" si="721"/>
        <v>1605.05</v>
      </c>
      <c r="AN298" s="43">
        <f t="shared" si="722"/>
        <v>7.31</v>
      </c>
      <c r="AO298" s="43"/>
      <c r="AP298" s="43"/>
      <c r="AQ298" s="43">
        <f t="shared" si="723"/>
        <v>3210.05</v>
      </c>
      <c r="AR298" s="43">
        <f t="shared" si="723"/>
        <v>15.309999999999999</v>
      </c>
      <c r="AS298" s="43"/>
      <c r="AT298" s="43"/>
      <c r="AU298" s="43">
        <f t="shared" si="804"/>
        <v>1605.05</v>
      </c>
      <c r="AV298" s="43">
        <f t="shared" si="804"/>
        <v>7.5</v>
      </c>
      <c r="AW298" s="43"/>
      <c r="AX298" s="43"/>
      <c r="AY298" s="43">
        <f t="shared" si="724"/>
        <v>5350.1</v>
      </c>
      <c r="AZ298" s="43">
        <f t="shared" si="724"/>
        <v>22.81</v>
      </c>
      <c r="BA298" s="43">
        <f t="shared" si="725"/>
        <v>5372.9100000000008</v>
      </c>
      <c r="BB298" s="60">
        <v>5297.56</v>
      </c>
      <c r="BC298" s="60">
        <v>25.05</v>
      </c>
      <c r="BD298" s="60">
        <f t="shared" si="726"/>
        <v>52.539999999999964</v>
      </c>
      <c r="BE298" s="60">
        <f t="shared" si="726"/>
        <v>-2.240000000000002</v>
      </c>
      <c r="BF298" s="60">
        <f t="shared" si="727"/>
        <v>1059.51</v>
      </c>
      <c r="BG298" s="60">
        <f t="shared" si="727"/>
        <v>5.01</v>
      </c>
      <c r="BH298" s="43">
        <v>503.49</v>
      </c>
      <c r="BI298" s="43">
        <v>3.6</v>
      </c>
      <c r="BJ298" s="43">
        <v>163.66</v>
      </c>
      <c r="BK298" s="43"/>
      <c r="BL298" s="43">
        <f t="shared" si="739"/>
        <v>6017.25</v>
      </c>
      <c r="BM298" s="43">
        <f t="shared" si="739"/>
        <v>26.41</v>
      </c>
      <c r="BN298" s="43">
        <f t="shared" si="751"/>
        <v>6043.66</v>
      </c>
      <c r="BO298" s="43">
        <v>5849.44</v>
      </c>
      <c r="BP298" s="93">
        <v>25.05</v>
      </c>
      <c r="BQ298" s="43">
        <f t="shared" si="752"/>
        <v>167.8100000000004</v>
      </c>
      <c r="BR298" s="43">
        <f t="shared" si="752"/>
        <v>1.3599999999999994</v>
      </c>
      <c r="BS298" s="43">
        <f t="shared" si="753"/>
        <v>531.77</v>
      </c>
      <c r="BT298" s="43">
        <f t="shared" si="753"/>
        <v>2.2799999999999998</v>
      </c>
      <c r="BU298" s="43">
        <f t="shared" si="779"/>
        <v>363.95999999999958</v>
      </c>
      <c r="BV298" s="43">
        <v>0</v>
      </c>
      <c r="BW298" s="43">
        <f>279.42+40.92</f>
        <v>320.34000000000003</v>
      </c>
      <c r="BX298" s="43"/>
      <c r="BY298" s="43"/>
      <c r="BZ298" s="43"/>
      <c r="CA298" s="43">
        <v>6701.5499999999993</v>
      </c>
      <c r="CB298" s="43">
        <v>26.41</v>
      </c>
      <c r="CC298" s="92">
        <v>7371.71</v>
      </c>
      <c r="CD298" s="92">
        <v>30.37</v>
      </c>
      <c r="CE298" s="92">
        <v>614</v>
      </c>
      <c r="CF298" s="92">
        <v>3</v>
      </c>
      <c r="CG298" s="92">
        <f t="shared" si="754"/>
        <v>1675.39</v>
      </c>
      <c r="CH298" s="92">
        <f t="shared" si="754"/>
        <v>6.6</v>
      </c>
      <c r="CI298" s="43"/>
      <c r="CJ298" s="43"/>
      <c r="CK298" s="72">
        <f>1593-100</f>
        <v>1493</v>
      </c>
      <c r="CL298" s="43">
        <v>0</v>
      </c>
      <c r="CM298" s="43"/>
      <c r="CN298" s="43"/>
      <c r="CO298" s="43">
        <v>8000</v>
      </c>
      <c r="CP298" s="43">
        <v>30</v>
      </c>
      <c r="CQ298" s="43">
        <f t="shared" si="755"/>
        <v>5972</v>
      </c>
      <c r="CR298" s="43">
        <f>ROUND(CL298/3*12,2)+3</f>
        <v>3</v>
      </c>
      <c r="CS298" s="43">
        <f t="shared" si="756"/>
        <v>5972</v>
      </c>
      <c r="CT298" s="43">
        <f t="shared" si="756"/>
        <v>3</v>
      </c>
      <c r="CU298" s="72">
        <f>IF(CQ298&lt;CS298,CQ298,CS298)+1598</f>
        <v>7570</v>
      </c>
      <c r="CV298" s="43">
        <f t="shared" si="756"/>
        <v>3</v>
      </c>
      <c r="CW298" s="72">
        <f>ROUND(CU298*25%,2)-399.5</f>
        <v>1493</v>
      </c>
      <c r="CX298" s="43">
        <f>ROUND(CV298*25%,2)-0.75</f>
        <v>0</v>
      </c>
      <c r="CY298" s="43">
        <v>436.24</v>
      </c>
      <c r="CZ298" s="43"/>
      <c r="DA298" s="43">
        <f t="shared" si="758"/>
        <v>4036.24</v>
      </c>
      <c r="DB298" s="43">
        <f t="shared" si="758"/>
        <v>3</v>
      </c>
      <c r="DC298" s="43">
        <v>4038.42</v>
      </c>
      <c r="DD298" s="43"/>
      <c r="DE298" s="43">
        <f t="shared" si="759"/>
        <v>-2.180000000000291</v>
      </c>
      <c r="DF298" s="43">
        <f t="shared" si="759"/>
        <v>3</v>
      </c>
      <c r="DG298" s="43">
        <f t="shared" si="824"/>
        <v>1892.5</v>
      </c>
      <c r="DH298" s="43">
        <f t="shared" si="824"/>
        <v>0</v>
      </c>
      <c r="DI298" s="43">
        <f t="shared" si="825"/>
        <v>1894.6800000000003</v>
      </c>
      <c r="DJ298" s="43">
        <f>+DH298-DF298+3</f>
        <v>0</v>
      </c>
      <c r="DK298" s="43"/>
      <c r="DL298" s="43"/>
      <c r="DM298" s="43">
        <f t="shared" si="760"/>
        <v>5930.92</v>
      </c>
      <c r="DN298" s="43">
        <f t="shared" si="760"/>
        <v>3</v>
      </c>
      <c r="DO298" s="104">
        <v>5869.18</v>
      </c>
      <c r="DP298" s="132"/>
      <c r="DQ298" s="60">
        <f t="shared" si="761"/>
        <v>61.74</v>
      </c>
      <c r="DR298" s="60">
        <f t="shared" si="761"/>
        <v>3</v>
      </c>
      <c r="DS298" s="60">
        <f t="shared" si="762"/>
        <v>586.91800000000001</v>
      </c>
      <c r="DT298" s="60">
        <f t="shared" si="762"/>
        <v>0</v>
      </c>
      <c r="DU298" s="60">
        <f t="shared" si="763"/>
        <v>525.178</v>
      </c>
      <c r="DV298" s="60">
        <f t="shared" si="763"/>
        <v>-3</v>
      </c>
      <c r="DW298" s="60"/>
      <c r="DX298" s="60"/>
      <c r="DY298" s="60">
        <f t="shared" si="827"/>
        <v>525.17999999999995</v>
      </c>
      <c r="DZ298" s="60">
        <v>0</v>
      </c>
      <c r="EA298" s="60"/>
      <c r="EB298" s="60"/>
      <c r="EC298" s="43">
        <f t="shared" si="764"/>
        <v>6456.1</v>
      </c>
      <c r="ED298" s="43">
        <f t="shared" si="764"/>
        <v>3</v>
      </c>
      <c r="EE298" s="43">
        <v>6459.1</v>
      </c>
      <c r="EF298" s="43"/>
      <c r="EG298" s="43">
        <f t="shared" si="795"/>
        <v>100.05</v>
      </c>
      <c r="EH298" s="43">
        <f t="shared" si="795"/>
        <v>0</v>
      </c>
      <c r="EI298" s="43">
        <f t="shared" si="765"/>
        <v>-3</v>
      </c>
      <c r="EJ298" s="43">
        <f t="shared" si="765"/>
        <v>3</v>
      </c>
      <c r="EK298" s="43">
        <f t="shared" si="766"/>
        <v>587.19000000000005</v>
      </c>
      <c r="EL298" s="43">
        <f t="shared" si="766"/>
        <v>0</v>
      </c>
      <c r="EM298" s="43">
        <f t="shared" si="767"/>
        <v>590.19000000000005</v>
      </c>
      <c r="EN298" s="43">
        <f t="shared" si="767"/>
        <v>-3</v>
      </c>
      <c r="EO298" s="43">
        <v>633</v>
      </c>
      <c r="EP298" s="43">
        <v>0</v>
      </c>
      <c r="EQ298" s="5"/>
      <c r="ER298" s="5"/>
      <c r="ES298" s="5"/>
      <c r="ET298" s="5"/>
      <c r="EU298" s="5">
        <f t="shared" si="814"/>
        <v>480.89999999999964</v>
      </c>
      <c r="EV298" s="5">
        <f t="shared" si="814"/>
        <v>-3</v>
      </c>
      <c r="EW298" s="5">
        <v>7570</v>
      </c>
      <c r="EX298" s="58">
        <v>0</v>
      </c>
      <c r="EY298" s="5">
        <v>8010</v>
      </c>
      <c r="EZ298" s="5">
        <v>0</v>
      </c>
    </row>
    <row r="299" spans="1:160" ht="37.5" x14ac:dyDescent="0.25">
      <c r="A299" s="68">
        <v>9</v>
      </c>
      <c r="B299" s="68" t="s">
        <v>603</v>
      </c>
      <c r="C299" s="91" t="s">
        <v>102</v>
      </c>
      <c r="D299" s="67" t="s">
        <v>604</v>
      </c>
      <c r="E299" s="69" t="s">
        <v>605</v>
      </c>
      <c r="F299" s="40">
        <v>10237.170000000002</v>
      </c>
      <c r="G299" s="40">
        <v>0</v>
      </c>
      <c r="H299" s="40">
        <v>11584.000000000002</v>
      </c>
      <c r="I299" s="70">
        <v>0</v>
      </c>
      <c r="J299" s="71">
        <v>10421.379999999999</v>
      </c>
      <c r="K299" s="71"/>
      <c r="L299" s="71"/>
      <c r="M299" s="71">
        <f t="shared" si="818"/>
        <v>10421.379999999999</v>
      </c>
      <c r="N299" s="71"/>
      <c r="O299" s="71"/>
      <c r="P299" s="71"/>
      <c r="Q299" s="71">
        <f t="shared" si="819"/>
        <v>0</v>
      </c>
      <c r="R299" s="71">
        <f t="shared" si="826"/>
        <v>10421.379999999999</v>
      </c>
      <c r="S299" s="71"/>
      <c r="T299" s="92"/>
      <c r="U299" s="92"/>
      <c r="V299" s="70">
        <f t="shared" si="820"/>
        <v>12259.35</v>
      </c>
      <c r="W299" s="40">
        <f t="shared" si="821"/>
        <v>0</v>
      </c>
      <c r="X299" s="43">
        <f t="shared" si="716"/>
        <v>-1837.9700000000012</v>
      </c>
      <c r="Y299" s="43">
        <f t="shared" si="716"/>
        <v>0</v>
      </c>
      <c r="Z299" s="43">
        <v>10421.379999999999</v>
      </c>
      <c r="AA299" s="43"/>
      <c r="AB299" s="43">
        <f t="shared" si="742"/>
        <v>10421.379999999999</v>
      </c>
      <c r="AC299" s="43">
        <f t="shared" si="743"/>
        <v>0</v>
      </c>
      <c r="AD299" s="71">
        <f t="shared" si="822"/>
        <v>10421.379999999999</v>
      </c>
      <c r="AE299" s="71">
        <f t="shared" si="822"/>
        <v>0</v>
      </c>
      <c r="AF299" s="71">
        <f t="shared" si="718"/>
        <v>0</v>
      </c>
      <c r="AG299" s="43">
        <f t="shared" si="719"/>
        <v>2605</v>
      </c>
      <c r="AH299" s="43">
        <f t="shared" si="719"/>
        <v>0</v>
      </c>
      <c r="AI299" s="93">
        <f t="shared" si="720"/>
        <v>868</v>
      </c>
      <c r="AJ299" s="43">
        <v>3</v>
      </c>
      <c r="AK299" s="43"/>
      <c r="AL299" s="43"/>
      <c r="AM299" s="43">
        <f t="shared" si="721"/>
        <v>2605.35</v>
      </c>
      <c r="AN299" s="43">
        <f t="shared" si="722"/>
        <v>0</v>
      </c>
      <c r="AO299" s="43"/>
      <c r="AP299" s="43"/>
      <c r="AQ299" s="43">
        <f t="shared" si="723"/>
        <v>5210.3500000000004</v>
      </c>
      <c r="AR299" s="43">
        <f t="shared" si="723"/>
        <v>0</v>
      </c>
      <c r="AS299" s="43"/>
      <c r="AT299" s="43"/>
      <c r="AU299" s="43">
        <f t="shared" si="804"/>
        <v>2605.35</v>
      </c>
      <c r="AV299" s="43">
        <f t="shared" si="804"/>
        <v>0</v>
      </c>
      <c r="AW299" s="43"/>
      <c r="AX299" s="43"/>
      <c r="AY299" s="43">
        <f t="shared" si="724"/>
        <v>8683.7000000000007</v>
      </c>
      <c r="AZ299" s="43">
        <f t="shared" si="724"/>
        <v>3</v>
      </c>
      <c r="BA299" s="43">
        <f t="shared" si="725"/>
        <v>8686.7000000000007</v>
      </c>
      <c r="BB299" s="60">
        <v>8662.08</v>
      </c>
      <c r="BC299" s="60"/>
      <c r="BD299" s="60">
        <f t="shared" si="726"/>
        <v>21.6200000000008</v>
      </c>
      <c r="BE299" s="60">
        <f t="shared" si="726"/>
        <v>3</v>
      </c>
      <c r="BF299" s="60">
        <f t="shared" si="727"/>
        <v>1732.42</v>
      </c>
      <c r="BG299" s="60">
        <f t="shared" si="727"/>
        <v>0</v>
      </c>
      <c r="BH299" s="43">
        <v>855.4</v>
      </c>
      <c r="BI299" s="43">
        <v>0</v>
      </c>
      <c r="BJ299" s="43">
        <v>2404.34</v>
      </c>
      <c r="BK299" s="43"/>
      <c r="BL299" s="43">
        <f t="shared" si="739"/>
        <v>11943.44</v>
      </c>
      <c r="BM299" s="43">
        <f t="shared" si="739"/>
        <v>3</v>
      </c>
      <c r="BN299" s="43">
        <f t="shared" si="751"/>
        <v>11946.44</v>
      </c>
      <c r="BO299" s="43">
        <v>11928.22</v>
      </c>
      <c r="BP299" s="93"/>
      <c r="BQ299" s="43">
        <f t="shared" si="752"/>
        <v>15.220000000001164</v>
      </c>
      <c r="BR299" s="43">
        <f t="shared" si="752"/>
        <v>3</v>
      </c>
      <c r="BS299" s="43">
        <f t="shared" si="753"/>
        <v>1084.3800000000001</v>
      </c>
      <c r="BT299" s="43">
        <f t="shared" si="753"/>
        <v>0</v>
      </c>
      <c r="BU299" s="43">
        <v>875</v>
      </c>
      <c r="BV299" s="43">
        <v>0</v>
      </c>
      <c r="BW299" s="43">
        <f>1493+650</f>
        <v>2143</v>
      </c>
      <c r="BX299" s="43"/>
      <c r="BY299" s="43"/>
      <c r="BZ299" s="43"/>
      <c r="CA299" s="43">
        <v>14961.44</v>
      </c>
      <c r="CB299" s="43">
        <v>3</v>
      </c>
      <c r="CC299" s="92">
        <v>16457.580000000002</v>
      </c>
      <c r="CD299" s="92">
        <v>3.45</v>
      </c>
      <c r="CE299" s="92">
        <v>1371</v>
      </c>
      <c r="CF299" s="92">
        <v>0</v>
      </c>
      <c r="CG299" s="92">
        <f t="shared" si="754"/>
        <v>3740.36</v>
      </c>
      <c r="CH299" s="92">
        <f t="shared" si="754"/>
        <v>0.75</v>
      </c>
      <c r="CI299" s="43"/>
      <c r="CJ299" s="43"/>
      <c r="CK299" s="72">
        <f>3550-100-100</f>
        <v>3350</v>
      </c>
      <c r="CL299" s="43">
        <v>0</v>
      </c>
      <c r="CM299" s="43"/>
      <c r="CN299" s="43"/>
      <c r="CO299" s="43">
        <v>12775</v>
      </c>
      <c r="CP299" s="43">
        <v>100</v>
      </c>
      <c r="CQ299" s="43">
        <f t="shared" si="755"/>
        <v>13400</v>
      </c>
      <c r="CR299" s="43">
        <f t="shared" si="755"/>
        <v>0</v>
      </c>
      <c r="CS299" s="43">
        <f t="shared" si="756"/>
        <v>12775</v>
      </c>
      <c r="CT299" s="43">
        <f t="shared" si="756"/>
        <v>0</v>
      </c>
      <c r="CU299" s="43">
        <f t="shared" si="756"/>
        <v>12775</v>
      </c>
      <c r="CV299" s="43">
        <v>105</v>
      </c>
      <c r="CW299" s="43">
        <f t="shared" si="757"/>
        <v>3193.75</v>
      </c>
      <c r="CX299" s="43">
        <f t="shared" si="757"/>
        <v>26.25</v>
      </c>
      <c r="CY299" s="43"/>
      <c r="CZ299" s="43">
        <v>78.75</v>
      </c>
      <c r="DA299" s="43">
        <f t="shared" si="758"/>
        <v>7914.75</v>
      </c>
      <c r="DB299" s="43">
        <f t="shared" si="758"/>
        <v>105</v>
      </c>
      <c r="DC299" s="43">
        <v>7861</v>
      </c>
      <c r="DD299" s="43">
        <v>93.09</v>
      </c>
      <c r="DE299" s="43">
        <f t="shared" si="759"/>
        <v>53.75</v>
      </c>
      <c r="DF299" s="43">
        <f t="shared" si="759"/>
        <v>11.909999999999997</v>
      </c>
      <c r="DG299" s="43">
        <f t="shared" si="824"/>
        <v>3193.75</v>
      </c>
      <c r="DH299" s="43">
        <f t="shared" si="824"/>
        <v>24.82</v>
      </c>
      <c r="DI299" s="43">
        <f t="shared" si="825"/>
        <v>3140</v>
      </c>
      <c r="DJ299" s="43">
        <f>+DH299-DF299-12.91</f>
        <v>0</v>
      </c>
      <c r="DK299" s="43"/>
      <c r="DL299" s="43"/>
      <c r="DM299" s="43">
        <f t="shared" si="760"/>
        <v>11054.75</v>
      </c>
      <c r="DN299" s="43">
        <f t="shared" si="760"/>
        <v>105</v>
      </c>
      <c r="DO299" s="94">
        <v>11045.09</v>
      </c>
      <c r="DP299" s="114">
        <v>96.3</v>
      </c>
      <c r="DQ299" s="60">
        <f t="shared" si="761"/>
        <v>9.66</v>
      </c>
      <c r="DR299" s="60">
        <f t="shared" si="761"/>
        <v>8.6999999999999993</v>
      </c>
      <c r="DS299" s="60">
        <f t="shared" si="762"/>
        <v>1104.509</v>
      </c>
      <c r="DT299" s="60">
        <f t="shared" si="762"/>
        <v>9.629999999999999</v>
      </c>
      <c r="DU299" s="60">
        <f t="shared" si="763"/>
        <v>1094.8489999999999</v>
      </c>
      <c r="DV299" s="60">
        <f t="shared" si="763"/>
        <v>0.92999999999999972</v>
      </c>
      <c r="DW299" s="60"/>
      <c r="DX299" s="60"/>
      <c r="DY299" s="60">
        <f t="shared" si="827"/>
        <v>1094.8499999999999</v>
      </c>
      <c r="DZ299" s="60">
        <f>ROUND(DV299+DX299,2)-0.93</f>
        <v>0</v>
      </c>
      <c r="EA299" s="60"/>
      <c r="EB299" s="60"/>
      <c r="EC299" s="43">
        <f t="shared" si="764"/>
        <v>12149.6</v>
      </c>
      <c r="ED299" s="43">
        <f t="shared" si="764"/>
        <v>105</v>
      </c>
      <c r="EE299" s="43">
        <v>11051.15</v>
      </c>
      <c r="EF299" s="43">
        <v>97.36</v>
      </c>
      <c r="EG299" s="43">
        <f t="shared" si="795"/>
        <v>90.96</v>
      </c>
      <c r="EH299" s="43">
        <f t="shared" si="795"/>
        <v>92.72</v>
      </c>
      <c r="EI299" s="43">
        <f t="shared" si="765"/>
        <v>1098.45</v>
      </c>
      <c r="EJ299" s="43">
        <f t="shared" si="765"/>
        <v>7.64</v>
      </c>
      <c r="EK299" s="43">
        <f t="shared" si="766"/>
        <v>1004.65</v>
      </c>
      <c r="EL299" s="43">
        <f t="shared" si="766"/>
        <v>8.85</v>
      </c>
      <c r="EM299" s="43">
        <f t="shared" si="767"/>
        <v>-93.800000000000068</v>
      </c>
      <c r="EN299" s="43">
        <f t="shared" si="767"/>
        <v>1.21</v>
      </c>
      <c r="EO299" s="43">
        <v>768.39</v>
      </c>
      <c r="EP299" s="43">
        <v>0</v>
      </c>
      <c r="EQ299" s="5"/>
      <c r="ER299" s="5"/>
      <c r="ES299" s="5"/>
      <c r="ET299" s="5"/>
      <c r="EU299" s="5">
        <f t="shared" si="814"/>
        <v>125.68999999999994</v>
      </c>
      <c r="EV299" s="5">
        <f t="shared" si="814"/>
        <v>-5.7099999999999937</v>
      </c>
      <c r="EW299" s="5">
        <v>13043.68</v>
      </c>
      <c r="EX299" s="58">
        <v>99.29</v>
      </c>
      <c r="EY299" s="5">
        <v>14737.83</v>
      </c>
      <c r="EZ299" s="5">
        <v>0</v>
      </c>
    </row>
    <row r="300" spans="1:160" ht="37.5" x14ac:dyDescent="0.25">
      <c r="A300" s="68">
        <v>10</v>
      </c>
      <c r="B300" s="68" t="s">
        <v>606</v>
      </c>
      <c r="C300" s="91" t="s">
        <v>193</v>
      </c>
      <c r="D300" s="67" t="s">
        <v>607</v>
      </c>
      <c r="E300" s="69" t="s">
        <v>608</v>
      </c>
      <c r="F300" s="40">
        <v>8485.7300000000014</v>
      </c>
      <c r="G300" s="40">
        <v>83</v>
      </c>
      <c r="H300" s="40">
        <v>9472.7300000000014</v>
      </c>
      <c r="I300" s="70">
        <v>83</v>
      </c>
      <c r="J300" s="71">
        <v>8386.9500000000007</v>
      </c>
      <c r="K300" s="71"/>
      <c r="L300" s="71"/>
      <c r="M300" s="71">
        <f t="shared" si="818"/>
        <v>8386.9500000000007</v>
      </c>
      <c r="N300" s="71"/>
      <c r="O300" s="71"/>
      <c r="P300" s="71"/>
      <c r="Q300" s="71">
        <f t="shared" si="819"/>
        <v>0</v>
      </c>
      <c r="R300" s="71">
        <f t="shared" si="826"/>
        <v>8386.9500000000007</v>
      </c>
      <c r="S300" s="71"/>
      <c r="T300" s="92"/>
      <c r="U300" s="92"/>
      <c r="V300" s="70">
        <f t="shared" si="820"/>
        <v>10024.99</v>
      </c>
      <c r="W300" s="40">
        <f t="shared" si="821"/>
        <v>85.71</v>
      </c>
      <c r="X300" s="43">
        <f t="shared" si="716"/>
        <v>-1638.0399999999991</v>
      </c>
      <c r="Y300" s="43">
        <f t="shared" si="716"/>
        <v>-85.71</v>
      </c>
      <c r="Z300" s="43">
        <v>8386.9500000000007</v>
      </c>
      <c r="AA300" s="43"/>
      <c r="AB300" s="43">
        <f t="shared" si="742"/>
        <v>8386.9500000000007</v>
      </c>
      <c r="AC300" s="43">
        <f t="shared" si="743"/>
        <v>0</v>
      </c>
      <c r="AD300" s="71">
        <f t="shared" si="822"/>
        <v>8386.9500000000007</v>
      </c>
      <c r="AE300" s="71">
        <f t="shared" si="822"/>
        <v>0</v>
      </c>
      <c r="AF300" s="71">
        <f t="shared" si="718"/>
        <v>0</v>
      </c>
      <c r="AG300" s="43">
        <f t="shared" si="719"/>
        <v>2097</v>
      </c>
      <c r="AH300" s="43">
        <f t="shared" si="719"/>
        <v>0</v>
      </c>
      <c r="AI300" s="93">
        <f t="shared" si="720"/>
        <v>699</v>
      </c>
      <c r="AJ300" s="43">
        <f t="shared" si="720"/>
        <v>0</v>
      </c>
      <c r="AK300" s="43"/>
      <c r="AL300" s="43"/>
      <c r="AM300" s="43">
        <f t="shared" si="721"/>
        <v>2096.7399999999998</v>
      </c>
      <c r="AN300" s="43">
        <f t="shared" si="722"/>
        <v>0</v>
      </c>
      <c r="AO300" s="43"/>
      <c r="AP300" s="43"/>
      <c r="AQ300" s="43">
        <f t="shared" si="723"/>
        <v>4193.74</v>
      </c>
      <c r="AR300" s="43">
        <f t="shared" si="723"/>
        <v>0</v>
      </c>
      <c r="AS300" s="43"/>
      <c r="AT300" s="43"/>
      <c r="AU300" s="43">
        <f t="shared" si="804"/>
        <v>2096.7399999999998</v>
      </c>
      <c r="AV300" s="43">
        <f t="shared" si="804"/>
        <v>0</v>
      </c>
      <c r="AW300" s="43"/>
      <c r="AX300" s="43"/>
      <c r="AY300" s="43">
        <f t="shared" si="724"/>
        <v>6989.48</v>
      </c>
      <c r="AZ300" s="43">
        <f t="shared" si="724"/>
        <v>0</v>
      </c>
      <c r="BA300" s="43">
        <f t="shared" si="725"/>
        <v>6989.48</v>
      </c>
      <c r="BB300" s="111">
        <v>5451.17</v>
      </c>
      <c r="BC300" s="60"/>
      <c r="BD300" s="111">
        <f t="shared" si="726"/>
        <v>1538.3099999999995</v>
      </c>
      <c r="BE300" s="60">
        <f t="shared" si="726"/>
        <v>0</v>
      </c>
      <c r="BF300" s="60">
        <f t="shared" si="727"/>
        <v>1090.23</v>
      </c>
      <c r="BG300" s="60">
        <f t="shared" si="727"/>
        <v>0</v>
      </c>
      <c r="BH300" s="43">
        <v>0</v>
      </c>
      <c r="BI300" s="43">
        <v>0</v>
      </c>
      <c r="BJ300" s="43">
        <v>2790.17</v>
      </c>
      <c r="BK300" s="43"/>
      <c r="BL300" s="43">
        <f t="shared" si="739"/>
        <v>9779.65</v>
      </c>
      <c r="BM300" s="43">
        <f t="shared" si="739"/>
        <v>0</v>
      </c>
      <c r="BN300" s="43">
        <f t="shared" si="751"/>
        <v>9779.65</v>
      </c>
      <c r="BO300" s="43">
        <v>9361.35</v>
      </c>
      <c r="BP300" s="93"/>
      <c r="BQ300" s="43">
        <f t="shared" si="752"/>
        <v>418.29999999999927</v>
      </c>
      <c r="BR300" s="43">
        <f t="shared" si="752"/>
        <v>0</v>
      </c>
      <c r="BS300" s="43">
        <f t="shared" si="753"/>
        <v>851.03</v>
      </c>
      <c r="BT300" s="43">
        <f t="shared" si="753"/>
        <v>0</v>
      </c>
      <c r="BU300" s="43">
        <v>250</v>
      </c>
      <c r="BV300" s="43">
        <f t="shared" ref="BV300:BV309" si="828">BT300-BR300</f>
        <v>0</v>
      </c>
      <c r="BW300" s="43"/>
      <c r="BX300" s="43"/>
      <c r="BY300" s="43"/>
      <c r="BZ300" s="43"/>
      <c r="CA300" s="43">
        <v>10029.65</v>
      </c>
      <c r="CB300" s="43">
        <v>0</v>
      </c>
      <c r="CC300" s="92">
        <v>11032.62</v>
      </c>
      <c r="CD300" s="92">
        <v>0</v>
      </c>
      <c r="CE300" s="92">
        <v>919</v>
      </c>
      <c r="CF300" s="92">
        <v>0</v>
      </c>
      <c r="CG300" s="92">
        <f t="shared" si="754"/>
        <v>2507.41</v>
      </c>
      <c r="CH300" s="92">
        <f t="shared" si="754"/>
        <v>0</v>
      </c>
      <c r="CI300" s="43"/>
      <c r="CJ300" s="43"/>
      <c r="CK300" s="72">
        <f>2757-100-100-57</f>
        <v>2500</v>
      </c>
      <c r="CL300" s="43">
        <v>0</v>
      </c>
      <c r="CM300" s="43"/>
      <c r="CN300" s="43"/>
      <c r="CO300" s="43">
        <v>9644.99</v>
      </c>
      <c r="CP300" s="43"/>
      <c r="CQ300" s="43">
        <f t="shared" si="755"/>
        <v>10000</v>
      </c>
      <c r="CR300" s="43">
        <f t="shared" si="755"/>
        <v>0</v>
      </c>
      <c r="CS300" s="43">
        <f t="shared" si="756"/>
        <v>9644.99</v>
      </c>
      <c r="CT300" s="43">
        <f t="shared" si="756"/>
        <v>0</v>
      </c>
      <c r="CU300" s="43">
        <v>10800</v>
      </c>
      <c r="CV300" s="72">
        <f>0+25</f>
        <v>25</v>
      </c>
      <c r="CW300" s="43">
        <f t="shared" si="757"/>
        <v>2700</v>
      </c>
      <c r="CX300" s="43">
        <f>ROUND(CV300*25%,2)-6.25</f>
        <v>0</v>
      </c>
      <c r="CY300" s="43"/>
      <c r="CZ300" s="43">
        <v>25</v>
      </c>
      <c r="DA300" s="43">
        <f t="shared" si="758"/>
        <v>6119</v>
      </c>
      <c r="DB300" s="43">
        <f t="shared" si="758"/>
        <v>25</v>
      </c>
      <c r="DC300" s="43">
        <v>5820.85</v>
      </c>
      <c r="DD300" s="43">
        <v>19.739999999999998</v>
      </c>
      <c r="DE300" s="43">
        <f t="shared" si="759"/>
        <v>298.14999999999964</v>
      </c>
      <c r="DF300" s="43">
        <f t="shared" si="759"/>
        <v>5.2600000000000016</v>
      </c>
      <c r="DG300" s="43">
        <f t="shared" si="824"/>
        <v>2700</v>
      </c>
      <c r="DH300" s="43">
        <f t="shared" si="824"/>
        <v>4.9400000000000004</v>
      </c>
      <c r="DI300" s="43">
        <f t="shared" si="825"/>
        <v>2401.8500000000004</v>
      </c>
      <c r="DJ300" s="43">
        <f>+DH300-DF300+0.32</f>
        <v>-1.1657341758564144E-15</v>
      </c>
      <c r="DK300" s="43"/>
      <c r="DL300" s="43"/>
      <c r="DM300" s="43">
        <f t="shared" si="760"/>
        <v>8520.85</v>
      </c>
      <c r="DN300" s="43">
        <f t="shared" si="760"/>
        <v>25</v>
      </c>
      <c r="DO300" s="104">
        <v>8520.67</v>
      </c>
      <c r="DP300" s="132">
        <v>20.34</v>
      </c>
      <c r="DQ300" s="60">
        <f t="shared" si="761"/>
        <v>0.18</v>
      </c>
      <c r="DR300" s="60">
        <f t="shared" si="761"/>
        <v>4.66</v>
      </c>
      <c r="DS300" s="60">
        <f t="shared" si="762"/>
        <v>852.06700000000001</v>
      </c>
      <c r="DT300" s="60">
        <f t="shared" si="762"/>
        <v>2.0339999999999998</v>
      </c>
      <c r="DU300" s="60">
        <f t="shared" si="763"/>
        <v>851.88700000000006</v>
      </c>
      <c r="DV300" s="60">
        <f t="shared" si="763"/>
        <v>-2.6260000000000003</v>
      </c>
      <c r="DW300" s="60"/>
      <c r="DX300" s="60"/>
      <c r="DY300" s="60">
        <f t="shared" si="827"/>
        <v>851.89</v>
      </c>
      <c r="DZ300" s="60">
        <v>0</v>
      </c>
      <c r="EA300" s="60"/>
      <c r="EB300" s="60"/>
      <c r="EC300" s="43">
        <f t="shared" si="764"/>
        <v>9372.74</v>
      </c>
      <c r="ED300" s="43">
        <f t="shared" si="764"/>
        <v>25</v>
      </c>
      <c r="EE300" s="43">
        <v>8599.8700000000008</v>
      </c>
      <c r="EF300" s="43">
        <v>20.34</v>
      </c>
      <c r="EG300" s="43">
        <f t="shared" si="795"/>
        <v>91.75</v>
      </c>
      <c r="EH300" s="43">
        <f t="shared" si="795"/>
        <v>81.36</v>
      </c>
      <c r="EI300" s="43">
        <f t="shared" si="765"/>
        <v>772.87</v>
      </c>
      <c r="EJ300" s="43">
        <f t="shared" si="765"/>
        <v>4.66</v>
      </c>
      <c r="EK300" s="43">
        <f t="shared" si="766"/>
        <v>781.81</v>
      </c>
      <c r="EL300" s="43">
        <f t="shared" si="766"/>
        <v>1.85</v>
      </c>
      <c r="EM300" s="43">
        <f t="shared" si="767"/>
        <v>8.9399999999999409</v>
      </c>
      <c r="EN300" s="43">
        <f t="shared" si="767"/>
        <v>-2.81</v>
      </c>
      <c r="EO300" s="43">
        <v>881.5</v>
      </c>
      <c r="EP300" s="43">
        <v>0</v>
      </c>
      <c r="EQ300" s="5"/>
      <c r="ER300" s="5"/>
      <c r="ES300" s="5"/>
      <c r="ET300" s="5"/>
      <c r="EU300" s="5">
        <f t="shared" si="814"/>
        <v>545.76000000000022</v>
      </c>
      <c r="EV300" s="5">
        <f t="shared" si="814"/>
        <v>-5.2600000000000016</v>
      </c>
      <c r="EW300" s="5">
        <v>10800</v>
      </c>
      <c r="EX300" s="58">
        <v>19.739999999999998</v>
      </c>
      <c r="EY300" s="5">
        <v>12420</v>
      </c>
      <c r="EZ300" s="5">
        <v>0</v>
      </c>
    </row>
    <row r="301" spans="1:160" ht="37.5" x14ac:dyDescent="0.25">
      <c r="A301" s="68">
        <v>11</v>
      </c>
      <c r="B301" s="68" t="s">
        <v>609</v>
      </c>
      <c r="C301" s="91" t="s">
        <v>188</v>
      </c>
      <c r="D301" s="67" t="s">
        <v>610</v>
      </c>
      <c r="E301" s="69" t="s">
        <v>611</v>
      </c>
      <c r="F301" s="40">
        <v>9468</v>
      </c>
      <c r="G301" s="40">
        <v>55.88</v>
      </c>
      <c r="H301" s="40">
        <v>9468</v>
      </c>
      <c r="I301" s="70">
        <v>55.88</v>
      </c>
      <c r="J301" s="71">
        <v>9017.85</v>
      </c>
      <c r="K301" s="71"/>
      <c r="L301" s="71"/>
      <c r="M301" s="71">
        <f t="shared" si="818"/>
        <v>9017.85</v>
      </c>
      <c r="N301" s="71"/>
      <c r="O301" s="71"/>
      <c r="P301" s="71"/>
      <c r="Q301" s="71">
        <f t="shared" si="819"/>
        <v>0</v>
      </c>
      <c r="R301" s="71">
        <f t="shared" si="826"/>
        <v>9017.85</v>
      </c>
      <c r="S301" s="71">
        <v>65</v>
      </c>
      <c r="T301" s="92"/>
      <c r="U301" s="92"/>
      <c r="V301" s="70">
        <f t="shared" si="820"/>
        <v>10019.98</v>
      </c>
      <c r="W301" s="40">
        <f t="shared" si="821"/>
        <v>57.71</v>
      </c>
      <c r="X301" s="43">
        <f t="shared" si="716"/>
        <v>-1002.1299999999992</v>
      </c>
      <c r="Y301" s="43">
        <f t="shared" si="716"/>
        <v>7.2899999999999991</v>
      </c>
      <c r="Z301" s="43">
        <v>9017.85</v>
      </c>
      <c r="AA301" s="43"/>
      <c r="AB301" s="43">
        <f t="shared" si="742"/>
        <v>9017.85</v>
      </c>
      <c r="AC301" s="43">
        <f t="shared" si="743"/>
        <v>0</v>
      </c>
      <c r="AD301" s="71">
        <f t="shared" si="822"/>
        <v>9017.85</v>
      </c>
      <c r="AE301" s="71">
        <f t="shared" si="822"/>
        <v>57.71</v>
      </c>
      <c r="AF301" s="71">
        <f t="shared" si="718"/>
        <v>58.64</v>
      </c>
      <c r="AG301" s="43">
        <f t="shared" si="719"/>
        <v>2254</v>
      </c>
      <c r="AH301" s="43">
        <f t="shared" si="719"/>
        <v>14</v>
      </c>
      <c r="AI301" s="93">
        <f t="shared" si="720"/>
        <v>751</v>
      </c>
      <c r="AJ301" s="43">
        <v>0</v>
      </c>
      <c r="AK301" s="43"/>
      <c r="AL301" s="43"/>
      <c r="AM301" s="43">
        <f t="shared" si="721"/>
        <v>2254.46</v>
      </c>
      <c r="AN301" s="43">
        <f>ROUND(AE301*24.35%,2)+1.23</f>
        <v>15.280000000000001</v>
      </c>
      <c r="AO301" s="43"/>
      <c r="AP301" s="43"/>
      <c r="AQ301" s="43">
        <f t="shared" si="723"/>
        <v>4508.46</v>
      </c>
      <c r="AR301" s="43">
        <f t="shared" si="723"/>
        <v>29.28</v>
      </c>
      <c r="AS301" s="43"/>
      <c r="AT301" s="43"/>
      <c r="AU301" s="43">
        <f t="shared" si="804"/>
        <v>2254.46</v>
      </c>
      <c r="AV301" s="43">
        <f t="shared" si="804"/>
        <v>14.43</v>
      </c>
      <c r="AW301" s="43"/>
      <c r="AX301" s="43"/>
      <c r="AY301" s="43">
        <f t="shared" si="724"/>
        <v>7513.92</v>
      </c>
      <c r="AZ301" s="43">
        <f t="shared" si="724"/>
        <v>43.71</v>
      </c>
      <c r="BA301" s="43">
        <f t="shared" si="725"/>
        <v>7557.63</v>
      </c>
      <c r="BB301" s="60">
        <v>6232.9800000000005</v>
      </c>
      <c r="BC301" s="60">
        <v>46.3</v>
      </c>
      <c r="BD301" s="60">
        <f t="shared" si="726"/>
        <v>1280.9399999999996</v>
      </c>
      <c r="BE301" s="60">
        <f t="shared" si="726"/>
        <v>-2.5899999999999963</v>
      </c>
      <c r="BF301" s="60">
        <f t="shared" si="727"/>
        <v>1246.5999999999999</v>
      </c>
      <c r="BG301" s="60">
        <f t="shared" si="727"/>
        <v>9.26</v>
      </c>
      <c r="BH301" s="43">
        <v>0</v>
      </c>
      <c r="BI301" s="43">
        <v>5.93</v>
      </c>
      <c r="BJ301" s="43">
        <v>2932.9</v>
      </c>
      <c r="BK301" s="43"/>
      <c r="BL301" s="43">
        <f t="shared" si="739"/>
        <v>10446.82</v>
      </c>
      <c r="BM301" s="43">
        <f t="shared" si="739"/>
        <v>49.64</v>
      </c>
      <c r="BN301" s="43">
        <f t="shared" si="751"/>
        <v>10496.46</v>
      </c>
      <c r="BO301" s="43">
        <v>9195.98</v>
      </c>
      <c r="BP301" s="93">
        <v>50.05</v>
      </c>
      <c r="BQ301" s="43">
        <f t="shared" si="752"/>
        <v>1250.8400000000001</v>
      </c>
      <c r="BR301" s="43">
        <f t="shared" si="752"/>
        <v>-0.40999999999999659</v>
      </c>
      <c r="BS301" s="43">
        <f t="shared" si="753"/>
        <v>836</v>
      </c>
      <c r="BT301" s="43">
        <f t="shared" si="753"/>
        <v>4.55</v>
      </c>
      <c r="BU301" s="43">
        <v>0</v>
      </c>
      <c r="BV301" s="72">
        <v>7.89</v>
      </c>
      <c r="BW301" s="72">
        <v>1093.9100000000001</v>
      </c>
      <c r="BX301" s="72"/>
      <c r="BY301" s="72"/>
      <c r="BZ301" s="72"/>
      <c r="CA301" s="43">
        <v>11540.73</v>
      </c>
      <c r="CB301" s="43">
        <v>57.53</v>
      </c>
      <c r="CC301" s="92">
        <v>12694.8</v>
      </c>
      <c r="CD301" s="92">
        <v>66.16</v>
      </c>
      <c r="CE301" s="92">
        <v>1058</v>
      </c>
      <c r="CF301" s="92">
        <v>6</v>
      </c>
      <c r="CG301" s="92">
        <f t="shared" si="754"/>
        <v>2885.18</v>
      </c>
      <c r="CH301" s="92">
        <f t="shared" si="754"/>
        <v>14.38</v>
      </c>
      <c r="CI301" s="43"/>
      <c r="CJ301" s="43"/>
      <c r="CK301" s="72">
        <f>2684.75-100</f>
        <v>2584.75</v>
      </c>
      <c r="CL301" s="43">
        <v>15</v>
      </c>
      <c r="CM301" s="43"/>
      <c r="CN301" s="43"/>
      <c r="CO301" s="43">
        <v>10250</v>
      </c>
      <c r="CP301" s="43">
        <v>45</v>
      </c>
      <c r="CQ301" s="43">
        <f t="shared" si="755"/>
        <v>10339</v>
      </c>
      <c r="CR301" s="43">
        <f t="shared" si="755"/>
        <v>60</v>
      </c>
      <c r="CS301" s="43">
        <f t="shared" si="756"/>
        <v>10250</v>
      </c>
      <c r="CT301" s="43">
        <f t="shared" si="756"/>
        <v>45</v>
      </c>
      <c r="CU301" s="43">
        <v>10486.25</v>
      </c>
      <c r="CV301" s="43">
        <v>57.71</v>
      </c>
      <c r="CW301" s="43">
        <f t="shared" si="757"/>
        <v>2621.56</v>
      </c>
      <c r="CX301" s="43">
        <f>ROUND(CV301*25%,2)-3</f>
        <v>11.43</v>
      </c>
      <c r="CY301" s="43"/>
      <c r="CZ301" s="43"/>
      <c r="DA301" s="43">
        <f t="shared" si="758"/>
        <v>6264.3099999999995</v>
      </c>
      <c r="DB301" s="43">
        <f t="shared" si="758"/>
        <v>32.43</v>
      </c>
      <c r="DC301" s="43">
        <v>5098.3500000000004</v>
      </c>
      <c r="DD301" s="43">
        <v>35.54</v>
      </c>
      <c r="DE301" s="43">
        <f t="shared" si="759"/>
        <v>1165.9599999999991</v>
      </c>
      <c r="DF301" s="43">
        <f t="shared" si="759"/>
        <v>-3.1099999999999994</v>
      </c>
      <c r="DG301" s="43">
        <f t="shared" si="824"/>
        <v>2621.56</v>
      </c>
      <c r="DH301" s="43">
        <f t="shared" si="824"/>
        <v>14.43</v>
      </c>
      <c r="DI301" s="43">
        <f t="shared" si="825"/>
        <v>1455.6000000000008</v>
      </c>
      <c r="DJ301" s="43">
        <f>+DH301-DF301</f>
        <v>17.54</v>
      </c>
      <c r="DK301" s="43"/>
      <c r="DL301" s="43"/>
      <c r="DM301" s="43">
        <f t="shared" si="760"/>
        <v>7719.91</v>
      </c>
      <c r="DN301" s="43">
        <f t="shared" si="760"/>
        <v>49.97</v>
      </c>
      <c r="DO301" s="94">
        <v>7610.78</v>
      </c>
      <c r="DP301" s="94">
        <v>46.67</v>
      </c>
      <c r="DQ301" s="60">
        <f t="shared" si="761"/>
        <v>109.13</v>
      </c>
      <c r="DR301" s="60">
        <f t="shared" si="761"/>
        <v>3.3</v>
      </c>
      <c r="DS301" s="60">
        <f t="shared" si="762"/>
        <v>761.07799999999997</v>
      </c>
      <c r="DT301" s="60">
        <f t="shared" si="762"/>
        <v>4.6669999999999998</v>
      </c>
      <c r="DU301" s="60">
        <f t="shared" si="763"/>
        <v>651.94799999999998</v>
      </c>
      <c r="DV301" s="60">
        <f t="shared" si="763"/>
        <v>1.367</v>
      </c>
      <c r="DW301" s="60"/>
      <c r="DX301" s="60"/>
      <c r="DY301" s="60">
        <v>900</v>
      </c>
      <c r="DZ301" s="60">
        <v>0</v>
      </c>
      <c r="EA301" s="60"/>
      <c r="EB301" s="60">
        <v>7.77</v>
      </c>
      <c r="EC301" s="43">
        <f t="shared" si="764"/>
        <v>8619.91</v>
      </c>
      <c r="ED301" s="43">
        <f t="shared" si="764"/>
        <v>57.739999999999995</v>
      </c>
      <c r="EE301" s="43">
        <v>8597.3700000000008</v>
      </c>
      <c r="EF301" s="43">
        <v>50.3</v>
      </c>
      <c r="EG301" s="43">
        <f t="shared" si="795"/>
        <v>99.74</v>
      </c>
      <c r="EH301" s="43">
        <f t="shared" si="795"/>
        <v>87.11</v>
      </c>
      <c r="EI301" s="43">
        <f t="shared" si="765"/>
        <v>22.54</v>
      </c>
      <c r="EJ301" s="43">
        <f t="shared" si="765"/>
        <v>7.44</v>
      </c>
      <c r="EK301" s="43">
        <f t="shared" si="766"/>
        <v>781.58</v>
      </c>
      <c r="EL301" s="43">
        <f t="shared" si="766"/>
        <v>4.57</v>
      </c>
      <c r="EM301" s="43">
        <f t="shared" si="767"/>
        <v>759.04000000000008</v>
      </c>
      <c r="EN301" s="43">
        <f t="shared" si="767"/>
        <v>-2.87</v>
      </c>
      <c r="EO301" s="43">
        <v>1221.3499999999999</v>
      </c>
      <c r="EP301" s="43">
        <v>0</v>
      </c>
      <c r="EQ301" s="5"/>
      <c r="ER301" s="5"/>
      <c r="ES301" s="5"/>
      <c r="ET301" s="5"/>
      <c r="EU301" s="5">
        <f t="shared" si="814"/>
        <v>857.38999999999987</v>
      </c>
      <c r="EV301" s="5">
        <f t="shared" si="814"/>
        <v>7.1054273576010019E-15</v>
      </c>
      <c r="EW301" s="5">
        <v>10698.65</v>
      </c>
      <c r="EX301" s="5">
        <v>57.74</v>
      </c>
      <c r="EY301" s="5">
        <v>12059.18</v>
      </c>
      <c r="EZ301" s="5">
        <v>47</v>
      </c>
    </row>
    <row r="302" spans="1:160" ht="37.5" x14ac:dyDescent="0.25">
      <c r="A302" s="68">
        <v>12</v>
      </c>
      <c r="B302" s="68" t="s">
        <v>612</v>
      </c>
      <c r="C302" s="91" t="s">
        <v>198</v>
      </c>
      <c r="D302" s="67" t="s">
        <v>613</v>
      </c>
      <c r="E302" s="69" t="s">
        <v>614</v>
      </c>
      <c r="F302" s="40">
        <v>7408.1800000000012</v>
      </c>
      <c r="G302" s="40">
        <v>4.88</v>
      </c>
      <c r="H302" s="40">
        <v>7520.1800000000012</v>
      </c>
      <c r="I302" s="70">
        <v>4.88</v>
      </c>
      <c r="J302" s="71">
        <v>7850.46</v>
      </c>
      <c r="K302" s="71"/>
      <c r="L302" s="71"/>
      <c r="M302" s="71">
        <f t="shared" si="818"/>
        <v>7850.46</v>
      </c>
      <c r="N302" s="71"/>
      <c r="O302" s="71"/>
      <c r="P302" s="71"/>
      <c r="Q302" s="71">
        <f t="shared" si="819"/>
        <v>0</v>
      </c>
      <c r="R302" s="71">
        <f t="shared" si="826"/>
        <v>7850.46</v>
      </c>
      <c r="S302" s="71">
        <v>9</v>
      </c>
      <c r="T302" s="92"/>
      <c r="U302" s="92"/>
      <c r="V302" s="70">
        <f t="shared" si="820"/>
        <v>7958.61</v>
      </c>
      <c r="W302" s="40">
        <f t="shared" si="821"/>
        <v>5.04</v>
      </c>
      <c r="X302" s="43">
        <f t="shared" si="716"/>
        <v>-108.14999999999964</v>
      </c>
      <c r="Y302" s="43">
        <f t="shared" si="716"/>
        <v>3.96</v>
      </c>
      <c r="Z302" s="43">
        <v>7850.46</v>
      </c>
      <c r="AA302" s="43"/>
      <c r="AB302" s="43">
        <f t="shared" si="742"/>
        <v>7850.46</v>
      </c>
      <c r="AC302" s="43">
        <f t="shared" si="743"/>
        <v>0</v>
      </c>
      <c r="AD302" s="71">
        <f t="shared" si="822"/>
        <v>7850.46</v>
      </c>
      <c r="AE302" s="71">
        <f t="shared" si="822"/>
        <v>5.04</v>
      </c>
      <c r="AF302" s="71">
        <f t="shared" si="718"/>
        <v>8.1199999999999992</v>
      </c>
      <c r="AG302" s="43">
        <f t="shared" si="719"/>
        <v>1963</v>
      </c>
      <c r="AH302" s="43">
        <f t="shared" si="719"/>
        <v>1</v>
      </c>
      <c r="AI302" s="93">
        <f t="shared" si="720"/>
        <v>654</v>
      </c>
      <c r="AJ302" s="43">
        <v>5</v>
      </c>
      <c r="AK302" s="43"/>
      <c r="AL302" s="43"/>
      <c r="AM302" s="43">
        <f t="shared" si="721"/>
        <v>1962.62</v>
      </c>
      <c r="AN302" s="43">
        <v>0</v>
      </c>
      <c r="AO302" s="43"/>
      <c r="AP302" s="43"/>
      <c r="AQ302" s="43">
        <f t="shared" si="723"/>
        <v>3925.62</v>
      </c>
      <c r="AR302" s="43">
        <f t="shared" si="723"/>
        <v>1</v>
      </c>
      <c r="AS302" s="43"/>
      <c r="AT302" s="43"/>
      <c r="AU302" s="43">
        <f t="shared" si="804"/>
        <v>1962.62</v>
      </c>
      <c r="AV302" s="43">
        <f>ROUND(AE302*25%,2)-1.26</f>
        <v>0</v>
      </c>
      <c r="AW302" s="43"/>
      <c r="AX302" s="72"/>
      <c r="AY302" s="43">
        <f t="shared" si="724"/>
        <v>6542.24</v>
      </c>
      <c r="AZ302" s="43">
        <f t="shared" si="724"/>
        <v>6</v>
      </c>
      <c r="BA302" s="43">
        <f t="shared" si="725"/>
        <v>6548.24</v>
      </c>
      <c r="BB302" s="111">
        <v>6482.2</v>
      </c>
      <c r="BC302" s="60">
        <v>1.05</v>
      </c>
      <c r="BD302" s="60">
        <f t="shared" si="726"/>
        <v>60.039999999999964</v>
      </c>
      <c r="BE302" s="60">
        <f t="shared" si="726"/>
        <v>4.95</v>
      </c>
      <c r="BF302" s="60">
        <f t="shared" si="727"/>
        <v>1296.44</v>
      </c>
      <c r="BG302" s="60">
        <f t="shared" si="727"/>
        <v>0.21</v>
      </c>
      <c r="BH302" s="72">
        <v>618.20000000000005</v>
      </c>
      <c r="BI302" s="43">
        <v>0</v>
      </c>
      <c r="BJ302" s="43">
        <v>787.88</v>
      </c>
      <c r="BK302" s="43"/>
      <c r="BL302" s="43">
        <f t="shared" si="739"/>
        <v>7948.32</v>
      </c>
      <c r="BM302" s="43">
        <f t="shared" si="739"/>
        <v>6</v>
      </c>
      <c r="BN302" s="43">
        <f t="shared" si="751"/>
        <v>7954.32</v>
      </c>
      <c r="BO302" s="43">
        <v>7657.94</v>
      </c>
      <c r="BP302" s="93">
        <v>2.64</v>
      </c>
      <c r="BQ302" s="43">
        <f t="shared" si="752"/>
        <v>290.38000000000011</v>
      </c>
      <c r="BR302" s="43">
        <f t="shared" si="752"/>
        <v>3.36</v>
      </c>
      <c r="BS302" s="43">
        <f t="shared" si="753"/>
        <v>696.18</v>
      </c>
      <c r="BT302" s="43">
        <f t="shared" si="753"/>
        <v>0.24</v>
      </c>
      <c r="BU302" s="43">
        <f t="shared" si="779"/>
        <v>405.79999999999984</v>
      </c>
      <c r="BV302" s="43">
        <v>0</v>
      </c>
      <c r="BW302" s="43"/>
      <c r="BX302" s="43"/>
      <c r="BY302" s="43">
        <v>3.14</v>
      </c>
      <c r="BZ302" s="43"/>
      <c r="CA302" s="43">
        <v>8354.119999999999</v>
      </c>
      <c r="CB302" s="43">
        <v>2.86</v>
      </c>
      <c r="CC302" s="92">
        <v>9189.5300000000007</v>
      </c>
      <c r="CD302" s="92">
        <v>3.29</v>
      </c>
      <c r="CE302" s="92">
        <v>766</v>
      </c>
      <c r="CF302" s="92">
        <v>0</v>
      </c>
      <c r="CG302" s="92">
        <f t="shared" si="754"/>
        <v>2088.5300000000002</v>
      </c>
      <c r="CH302" s="92">
        <f t="shared" si="754"/>
        <v>0.72</v>
      </c>
      <c r="CI302" s="43"/>
      <c r="CJ302" s="43"/>
      <c r="CK302" s="72">
        <f>1892.38-100</f>
        <v>1792.38</v>
      </c>
      <c r="CL302" s="43">
        <v>1</v>
      </c>
      <c r="CM302" s="43"/>
      <c r="CN302" s="43"/>
      <c r="CO302" s="43">
        <v>8635.49</v>
      </c>
      <c r="CP302" s="43">
        <v>6</v>
      </c>
      <c r="CQ302" s="43">
        <f t="shared" si="755"/>
        <v>7169.52</v>
      </c>
      <c r="CR302" s="43">
        <f t="shared" si="755"/>
        <v>4</v>
      </c>
      <c r="CS302" s="43">
        <f t="shared" si="756"/>
        <v>7169.52</v>
      </c>
      <c r="CT302" s="43">
        <f t="shared" si="756"/>
        <v>4</v>
      </c>
      <c r="CU302" s="43">
        <v>7992.18</v>
      </c>
      <c r="CV302" s="43">
        <v>4</v>
      </c>
      <c r="CW302" s="43">
        <f t="shared" si="757"/>
        <v>1998.05</v>
      </c>
      <c r="CX302" s="43">
        <f>ROUND(CV302*25%,2)-1</f>
        <v>0</v>
      </c>
      <c r="CY302" s="43"/>
      <c r="CZ302" s="43"/>
      <c r="DA302" s="43">
        <f t="shared" si="758"/>
        <v>4556.43</v>
      </c>
      <c r="DB302" s="43">
        <f t="shared" si="758"/>
        <v>1</v>
      </c>
      <c r="DC302" s="43">
        <v>4534.71</v>
      </c>
      <c r="DD302" s="43">
        <v>0.2</v>
      </c>
      <c r="DE302" s="43">
        <f t="shared" si="759"/>
        <v>21.720000000000255</v>
      </c>
      <c r="DF302" s="43">
        <f t="shared" si="759"/>
        <v>0.8</v>
      </c>
      <c r="DG302" s="43">
        <f t="shared" si="824"/>
        <v>1998.05</v>
      </c>
      <c r="DH302" s="43">
        <f t="shared" si="824"/>
        <v>0.55000000000000004</v>
      </c>
      <c r="DI302" s="43">
        <f t="shared" si="825"/>
        <v>1976.3299999999997</v>
      </c>
      <c r="DJ302" s="43">
        <f>+DH302-DF302+0.25</f>
        <v>0</v>
      </c>
      <c r="DK302" s="43"/>
      <c r="DL302" s="43"/>
      <c r="DM302" s="43">
        <f t="shared" si="760"/>
        <v>6532.76</v>
      </c>
      <c r="DN302" s="43">
        <f t="shared" si="760"/>
        <v>1</v>
      </c>
      <c r="DO302" s="94">
        <v>6519.12</v>
      </c>
      <c r="DP302" s="94">
        <v>0.46</v>
      </c>
      <c r="DQ302" s="60">
        <f t="shared" si="761"/>
        <v>13.64</v>
      </c>
      <c r="DR302" s="60">
        <f t="shared" si="761"/>
        <v>0.54</v>
      </c>
      <c r="DS302" s="60">
        <f t="shared" si="762"/>
        <v>651.91200000000003</v>
      </c>
      <c r="DT302" s="60">
        <f t="shared" si="762"/>
        <v>4.5999999999999999E-2</v>
      </c>
      <c r="DU302" s="60">
        <f t="shared" si="763"/>
        <v>638.27200000000005</v>
      </c>
      <c r="DV302" s="60">
        <f t="shared" si="763"/>
        <v>-0.49400000000000005</v>
      </c>
      <c r="DW302" s="60"/>
      <c r="DX302" s="60"/>
      <c r="DY302" s="60">
        <f t="shared" si="827"/>
        <v>638.27</v>
      </c>
      <c r="DZ302" s="60">
        <v>0</v>
      </c>
      <c r="EA302" s="60"/>
      <c r="EB302" s="60"/>
      <c r="EC302" s="43">
        <f t="shared" si="764"/>
        <v>7171.0300000000007</v>
      </c>
      <c r="ED302" s="43">
        <f t="shared" si="764"/>
        <v>1</v>
      </c>
      <c r="EE302" s="43">
        <v>7100.55</v>
      </c>
      <c r="EF302" s="43">
        <v>0.46</v>
      </c>
      <c r="EG302" s="43">
        <f t="shared" si="795"/>
        <v>99.02</v>
      </c>
      <c r="EH302" s="43">
        <f t="shared" si="795"/>
        <v>46</v>
      </c>
      <c r="EI302" s="43">
        <f t="shared" si="765"/>
        <v>70.48</v>
      </c>
      <c r="EJ302" s="43">
        <f t="shared" si="765"/>
        <v>0.54</v>
      </c>
      <c r="EK302" s="43">
        <f t="shared" si="766"/>
        <v>645.5</v>
      </c>
      <c r="EL302" s="43">
        <f t="shared" si="766"/>
        <v>0.04</v>
      </c>
      <c r="EM302" s="43">
        <f t="shared" si="767"/>
        <v>575.02</v>
      </c>
      <c r="EN302" s="43">
        <f t="shared" si="767"/>
        <v>-0.5</v>
      </c>
      <c r="EO302" s="43">
        <v>464.63</v>
      </c>
      <c r="EP302" s="43">
        <v>0</v>
      </c>
      <c r="EQ302" s="5"/>
      <c r="ER302" s="5"/>
      <c r="ES302" s="5"/>
      <c r="ET302" s="5"/>
      <c r="EU302" s="5">
        <f t="shared" si="814"/>
        <v>1735.9999999999991</v>
      </c>
      <c r="EV302" s="5">
        <f t="shared" si="814"/>
        <v>1.2000000000000002</v>
      </c>
      <c r="EW302" s="5">
        <v>9371.66</v>
      </c>
      <c r="EX302" s="5">
        <v>2.2000000000000002</v>
      </c>
      <c r="EY302" s="5">
        <v>10308</v>
      </c>
      <c r="EZ302" s="5">
        <v>4</v>
      </c>
    </row>
    <row r="303" spans="1:160" ht="18.75" x14ac:dyDescent="0.25">
      <c r="A303" s="37">
        <v>13</v>
      </c>
      <c r="B303" s="37"/>
      <c r="C303" s="133"/>
      <c r="D303" s="38" t="s">
        <v>615</v>
      </c>
      <c r="E303" s="39"/>
      <c r="F303" s="40">
        <v>0</v>
      </c>
      <c r="G303" s="40">
        <v>0</v>
      </c>
      <c r="H303" s="40">
        <v>0</v>
      </c>
      <c r="I303" s="40">
        <v>0</v>
      </c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92"/>
      <c r="U303" s="92"/>
      <c r="V303" s="40">
        <v>0</v>
      </c>
      <c r="W303" s="40">
        <f t="shared" ref="W303:W307" si="829">+U303+V303</f>
        <v>0</v>
      </c>
      <c r="X303" s="43">
        <f t="shared" si="716"/>
        <v>0</v>
      </c>
      <c r="Y303" s="43">
        <f t="shared" si="716"/>
        <v>0</v>
      </c>
      <c r="Z303" s="43"/>
      <c r="AA303" s="43"/>
      <c r="AB303" s="43">
        <f t="shared" si="742"/>
        <v>0</v>
      </c>
      <c r="AC303" s="43">
        <f t="shared" si="743"/>
        <v>0</v>
      </c>
      <c r="AD303" s="43"/>
      <c r="AE303" s="43"/>
      <c r="AF303" s="43">
        <f t="shared" si="718"/>
        <v>0</v>
      </c>
      <c r="AG303" s="43">
        <f t="shared" si="719"/>
        <v>0</v>
      </c>
      <c r="AH303" s="43">
        <f t="shared" si="719"/>
        <v>0</v>
      </c>
      <c r="AI303" s="93">
        <f t="shared" si="720"/>
        <v>0</v>
      </c>
      <c r="AJ303" s="43">
        <f t="shared" si="720"/>
        <v>0</v>
      </c>
      <c r="AK303" s="43"/>
      <c r="AL303" s="43"/>
      <c r="AM303" s="43">
        <f t="shared" si="721"/>
        <v>0</v>
      </c>
      <c r="AN303" s="43">
        <f t="shared" si="722"/>
        <v>0</v>
      </c>
      <c r="AO303" s="43"/>
      <c r="AP303" s="43"/>
      <c r="AQ303" s="43">
        <f t="shared" si="723"/>
        <v>0</v>
      </c>
      <c r="AR303" s="43">
        <f t="shared" si="723"/>
        <v>0</v>
      </c>
      <c r="AS303" s="43"/>
      <c r="AT303" s="43"/>
      <c r="AU303" s="43">
        <f t="shared" si="804"/>
        <v>0</v>
      </c>
      <c r="AV303" s="43">
        <f t="shared" si="804"/>
        <v>0</v>
      </c>
      <c r="AW303" s="43"/>
      <c r="AX303" s="43"/>
      <c r="AY303" s="43">
        <f t="shared" si="724"/>
        <v>0</v>
      </c>
      <c r="AZ303" s="43">
        <f t="shared" si="724"/>
        <v>0</v>
      </c>
      <c r="BA303" s="43">
        <f t="shared" si="725"/>
        <v>0</v>
      </c>
      <c r="BB303" s="60"/>
      <c r="BC303" s="60"/>
      <c r="BD303" s="60">
        <f t="shared" si="726"/>
        <v>0</v>
      </c>
      <c r="BE303" s="60">
        <f t="shared" si="726"/>
        <v>0</v>
      </c>
      <c r="BF303" s="60">
        <f t="shared" si="727"/>
        <v>0</v>
      </c>
      <c r="BG303" s="60">
        <f t="shared" si="727"/>
        <v>0</v>
      </c>
      <c r="BH303" s="43">
        <v>0</v>
      </c>
      <c r="BI303" s="43">
        <v>0</v>
      </c>
      <c r="BJ303" s="43"/>
      <c r="BK303" s="43"/>
      <c r="BL303" s="43">
        <f t="shared" si="739"/>
        <v>0</v>
      </c>
      <c r="BM303" s="43">
        <f t="shared" si="739"/>
        <v>0</v>
      </c>
      <c r="BN303" s="43">
        <f t="shared" si="751"/>
        <v>0</v>
      </c>
      <c r="BO303" s="43">
        <v>0</v>
      </c>
      <c r="BP303" s="93"/>
      <c r="BQ303" s="43">
        <f t="shared" si="752"/>
        <v>0</v>
      </c>
      <c r="BR303" s="43">
        <f t="shared" si="752"/>
        <v>0</v>
      </c>
      <c r="BS303" s="43">
        <f t="shared" si="753"/>
        <v>0</v>
      </c>
      <c r="BT303" s="43">
        <f t="shared" si="753"/>
        <v>0</v>
      </c>
      <c r="BU303" s="43">
        <f t="shared" si="779"/>
        <v>0</v>
      </c>
      <c r="BV303" s="43">
        <f t="shared" si="828"/>
        <v>0</v>
      </c>
      <c r="BW303" s="43"/>
      <c r="BX303" s="43"/>
      <c r="BY303" s="43"/>
      <c r="BZ303" s="43"/>
      <c r="CA303" s="43">
        <v>0</v>
      </c>
      <c r="CB303" s="43">
        <v>0</v>
      </c>
      <c r="CC303" s="92">
        <v>0</v>
      </c>
      <c r="CD303" s="92">
        <v>0</v>
      </c>
      <c r="CE303" s="92">
        <v>0</v>
      </c>
      <c r="CF303" s="92">
        <v>0</v>
      </c>
      <c r="CG303" s="92">
        <f t="shared" si="754"/>
        <v>0</v>
      </c>
      <c r="CH303" s="92">
        <f t="shared" si="754"/>
        <v>0</v>
      </c>
      <c r="CI303" s="43"/>
      <c r="CJ303" s="43"/>
      <c r="CK303" s="43"/>
      <c r="CL303" s="43"/>
      <c r="CM303" s="43"/>
      <c r="CN303" s="43"/>
      <c r="CO303" s="43"/>
      <c r="CP303" s="43"/>
      <c r="CQ303" s="43">
        <f t="shared" si="755"/>
        <v>0</v>
      </c>
      <c r="CR303" s="43">
        <f t="shared" si="755"/>
        <v>0</v>
      </c>
      <c r="CS303" s="43">
        <f t="shared" si="756"/>
        <v>0</v>
      </c>
      <c r="CT303" s="43">
        <f t="shared" si="756"/>
        <v>0</v>
      </c>
      <c r="CU303" s="43"/>
      <c r="CV303" s="43"/>
      <c r="CW303" s="43">
        <f t="shared" si="757"/>
        <v>0</v>
      </c>
      <c r="CX303" s="43">
        <f t="shared" si="757"/>
        <v>0</v>
      </c>
      <c r="CY303" s="43"/>
      <c r="CZ303" s="43"/>
      <c r="DA303" s="43">
        <f t="shared" si="758"/>
        <v>0</v>
      </c>
      <c r="DB303" s="43">
        <f t="shared" si="758"/>
        <v>0</v>
      </c>
      <c r="DC303" s="43"/>
      <c r="DD303" s="43"/>
      <c r="DE303" s="43">
        <f t="shared" si="759"/>
        <v>0</v>
      </c>
      <c r="DF303" s="43">
        <f t="shared" si="759"/>
        <v>0</v>
      </c>
      <c r="DG303" s="43">
        <f t="shared" si="824"/>
        <v>0</v>
      </c>
      <c r="DH303" s="43">
        <f t="shared" si="824"/>
        <v>0</v>
      </c>
      <c r="DI303" s="43">
        <f t="shared" si="825"/>
        <v>0</v>
      </c>
      <c r="DJ303" s="43">
        <f>+DH303-DF303</f>
        <v>0</v>
      </c>
      <c r="DK303" s="43"/>
      <c r="DL303" s="43"/>
      <c r="DM303" s="43">
        <f t="shared" si="760"/>
        <v>0</v>
      </c>
      <c r="DN303" s="43">
        <f t="shared" si="760"/>
        <v>0</v>
      </c>
      <c r="DO303" s="60"/>
      <c r="DP303" s="60"/>
      <c r="DQ303" s="60">
        <f t="shared" si="761"/>
        <v>0</v>
      </c>
      <c r="DR303" s="60">
        <f t="shared" si="761"/>
        <v>0</v>
      </c>
      <c r="DS303" s="60">
        <f t="shared" si="762"/>
        <v>0</v>
      </c>
      <c r="DT303" s="60">
        <f t="shared" si="762"/>
        <v>0</v>
      </c>
      <c r="DU303" s="60">
        <f t="shared" si="763"/>
        <v>0</v>
      </c>
      <c r="DV303" s="60">
        <f t="shared" si="763"/>
        <v>0</v>
      </c>
      <c r="DW303" s="60"/>
      <c r="DX303" s="60"/>
      <c r="DY303" s="60">
        <f t="shared" si="827"/>
        <v>0</v>
      </c>
      <c r="DZ303" s="60">
        <f t="shared" si="827"/>
        <v>0</v>
      </c>
      <c r="EA303" s="60"/>
      <c r="EB303" s="60"/>
      <c r="EC303" s="43">
        <f t="shared" si="764"/>
        <v>0</v>
      </c>
      <c r="ED303" s="43">
        <f t="shared" si="764"/>
        <v>0</v>
      </c>
      <c r="EE303" s="43"/>
      <c r="EF303" s="43"/>
      <c r="EG303" s="43" t="e">
        <f t="shared" si="795"/>
        <v>#DIV/0!</v>
      </c>
      <c r="EH303" s="43" t="e">
        <f t="shared" si="795"/>
        <v>#DIV/0!</v>
      </c>
      <c r="EI303" s="43">
        <f t="shared" si="765"/>
        <v>0</v>
      </c>
      <c r="EJ303" s="43">
        <f t="shared" si="765"/>
        <v>0</v>
      </c>
      <c r="EK303" s="43">
        <f t="shared" si="766"/>
        <v>0</v>
      </c>
      <c r="EL303" s="43">
        <f t="shared" si="766"/>
        <v>0</v>
      </c>
      <c r="EM303" s="43">
        <f t="shared" si="767"/>
        <v>0</v>
      </c>
      <c r="EN303" s="43">
        <f t="shared" si="767"/>
        <v>0</v>
      </c>
      <c r="EO303" s="43"/>
      <c r="EP303" s="43"/>
      <c r="EQ303" s="5"/>
      <c r="ER303" s="5"/>
      <c r="ES303" s="5"/>
      <c r="ET303" s="5"/>
      <c r="EU303" s="5">
        <f t="shared" si="814"/>
        <v>0</v>
      </c>
      <c r="EV303" s="5">
        <f t="shared" si="814"/>
        <v>0</v>
      </c>
    </row>
    <row r="304" spans="1:160" ht="18.75" x14ac:dyDescent="0.25">
      <c r="A304" s="37">
        <v>14</v>
      </c>
      <c r="B304" s="37"/>
      <c r="C304" s="133"/>
      <c r="D304" s="38" t="s">
        <v>616</v>
      </c>
      <c r="E304" s="39"/>
      <c r="F304" s="40">
        <v>0</v>
      </c>
      <c r="G304" s="40">
        <v>0</v>
      </c>
      <c r="H304" s="40">
        <v>0</v>
      </c>
      <c r="I304" s="40">
        <v>0</v>
      </c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92"/>
      <c r="U304" s="92"/>
      <c r="V304" s="40">
        <v>0</v>
      </c>
      <c r="W304" s="40">
        <f t="shared" si="829"/>
        <v>0</v>
      </c>
      <c r="X304" s="43">
        <f t="shared" si="716"/>
        <v>0</v>
      </c>
      <c r="Y304" s="43">
        <f t="shared" si="716"/>
        <v>0</v>
      </c>
      <c r="Z304" s="43"/>
      <c r="AA304" s="43"/>
      <c r="AB304" s="43">
        <f t="shared" si="742"/>
        <v>0</v>
      </c>
      <c r="AC304" s="43">
        <f t="shared" si="743"/>
        <v>0</v>
      </c>
      <c r="AD304" s="43"/>
      <c r="AE304" s="43"/>
      <c r="AF304" s="43">
        <f t="shared" si="718"/>
        <v>0</v>
      </c>
      <c r="AG304" s="43">
        <f t="shared" si="719"/>
        <v>0</v>
      </c>
      <c r="AH304" s="43">
        <f t="shared" si="719"/>
        <v>0</v>
      </c>
      <c r="AI304" s="93">
        <f t="shared" si="720"/>
        <v>0</v>
      </c>
      <c r="AJ304" s="43">
        <f t="shared" si="720"/>
        <v>0</v>
      </c>
      <c r="AK304" s="43"/>
      <c r="AL304" s="43"/>
      <c r="AM304" s="43">
        <f t="shared" si="721"/>
        <v>0</v>
      </c>
      <c r="AN304" s="43">
        <f t="shared" si="722"/>
        <v>0</v>
      </c>
      <c r="AO304" s="43"/>
      <c r="AP304" s="43"/>
      <c r="AQ304" s="43">
        <f t="shared" si="723"/>
        <v>0</v>
      </c>
      <c r="AR304" s="43">
        <f t="shared" si="723"/>
        <v>0</v>
      </c>
      <c r="AS304" s="43"/>
      <c r="AT304" s="43"/>
      <c r="AU304" s="43">
        <f t="shared" si="804"/>
        <v>0</v>
      </c>
      <c r="AV304" s="43">
        <f t="shared" si="804"/>
        <v>0</v>
      </c>
      <c r="AW304" s="43"/>
      <c r="AX304" s="43"/>
      <c r="AY304" s="43">
        <f t="shared" si="724"/>
        <v>0</v>
      </c>
      <c r="AZ304" s="43">
        <f t="shared" si="724"/>
        <v>0</v>
      </c>
      <c r="BA304" s="43">
        <f t="shared" si="725"/>
        <v>0</v>
      </c>
      <c r="BB304" s="60"/>
      <c r="BC304" s="60"/>
      <c r="BD304" s="60">
        <f t="shared" si="726"/>
        <v>0</v>
      </c>
      <c r="BE304" s="60">
        <f t="shared" si="726"/>
        <v>0</v>
      </c>
      <c r="BF304" s="60">
        <f t="shared" si="727"/>
        <v>0</v>
      </c>
      <c r="BG304" s="60">
        <f t="shared" si="727"/>
        <v>0</v>
      </c>
      <c r="BH304" s="43">
        <v>0</v>
      </c>
      <c r="BI304" s="43">
        <v>0</v>
      </c>
      <c r="BJ304" s="43"/>
      <c r="BK304" s="43"/>
      <c r="BL304" s="43">
        <f t="shared" si="739"/>
        <v>0</v>
      </c>
      <c r="BM304" s="43">
        <f t="shared" si="739"/>
        <v>0</v>
      </c>
      <c r="BN304" s="43">
        <f t="shared" si="751"/>
        <v>0</v>
      </c>
      <c r="BO304" s="43">
        <v>0</v>
      </c>
      <c r="BP304" s="93"/>
      <c r="BQ304" s="43">
        <f t="shared" si="752"/>
        <v>0</v>
      </c>
      <c r="BR304" s="43">
        <f t="shared" si="752"/>
        <v>0</v>
      </c>
      <c r="BS304" s="43">
        <f t="shared" si="753"/>
        <v>0</v>
      </c>
      <c r="BT304" s="43">
        <f t="shared" si="753"/>
        <v>0</v>
      </c>
      <c r="BU304" s="43">
        <f t="shared" si="779"/>
        <v>0</v>
      </c>
      <c r="BV304" s="43">
        <f t="shared" si="828"/>
        <v>0</v>
      </c>
      <c r="BW304" s="43"/>
      <c r="BX304" s="43"/>
      <c r="BY304" s="43"/>
      <c r="BZ304" s="43"/>
      <c r="CA304" s="43">
        <v>0</v>
      </c>
      <c r="CB304" s="43">
        <v>0</v>
      </c>
      <c r="CC304" s="92">
        <v>0</v>
      </c>
      <c r="CD304" s="92">
        <v>0</v>
      </c>
      <c r="CE304" s="92">
        <v>0</v>
      </c>
      <c r="CF304" s="92">
        <v>0</v>
      </c>
      <c r="CG304" s="92">
        <f t="shared" si="754"/>
        <v>0</v>
      </c>
      <c r="CH304" s="92">
        <f t="shared" si="754"/>
        <v>0</v>
      </c>
      <c r="CI304" s="43"/>
      <c r="CJ304" s="43"/>
      <c r="CK304" s="43"/>
      <c r="CL304" s="43"/>
      <c r="CM304" s="43"/>
      <c r="CN304" s="43"/>
      <c r="CO304" s="43"/>
      <c r="CP304" s="43"/>
      <c r="CQ304" s="43">
        <f t="shared" si="755"/>
        <v>0</v>
      </c>
      <c r="CR304" s="43">
        <f t="shared" si="755"/>
        <v>0</v>
      </c>
      <c r="CS304" s="43">
        <f t="shared" si="756"/>
        <v>0</v>
      </c>
      <c r="CT304" s="43">
        <f t="shared" si="756"/>
        <v>0</v>
      </c>
      <c r="CU304" s="43"/>
      <c r="CV304" s="43"/>
      <c r="CW304" s="43">
        <f t="shared" si="757"/>
        <v>0</v>
      </c>
      <c r="CX304" s="43">
        <f t="shared" si="757"/>
        <v>0</v>
      </c>
      <c r="CY304" s="43"/>
      <c r="CZ304" s="43"/>
      <c r="DA304" s="43">
        <f t="shared" si="758"/>
        <v>0</v>
      </c>
      <c r="DB304" s="43">
        <f t="shared" si="758"/>
        <v>0</v>
      </c>
      <c r="DC304" s="43"/>
      <c r="DD304" s="43"/>
      <c r="DE304" s="43">
        <f t="shared" si="759"/>
        <v>0</v>
      </c>
      <c r="DF304" s="43">
        <f t="shared" si="759"/>
        <v>0</v>
      </c>
      <c r="DG304" s="43">
        <f t="shared" si="824"/>
        <v>0</v>
      </c>
      <c r="DH304" s="43">
        <f t="shared" si="824"/>
        <v>0</v>
      </c>
      <c r="DI304" s="43">
        <f t="shared" si="825"/>
        <v>0</v>
      </c>
      <c r="DJ304" s="43">
        <f>+DH304-DF304</f>
        <v>0</v>
      </c>
      <c r="DK304" s="43"/>
      <c r="DL304" s="43"/>
      <c r="DM304" s="43">
        <f t="shared" si="760"/>
        <v>0</v>
      </c>
      <c r="DN304" s="43">
        <f t="shared" si="760"/>
        <v>0</v>
      </c>
      <c r="DO304" s="60"/>
      <c r="DP304" s="60"/>
      <c r="DQ304" s="60">
        <f t="shared" si="761"/>
        <v>0</v>
      </c>
      <c r="DR304" s="60">
        <f t="shared" si="761"/>
        <v>0</v>
      </c>
      <c r="DS304" s="60">
        <f t="shared" si="762"/>
        <v>0</v>
      </c>
      <c r="DT304" s="60">
        <f t="shared" si="762"/>
        <v>0</v>
      </c>
      <c r="DU304" s="60">
        <f t="shared" si="763"/>
        <v>0</v>
      </c>
      <c r="DV304" s="60">
        <f t="shared" si="763"/>
        <v>0</v>
      </c>
      <c r="DW304" s="60"/>
      <c r="DX304" s="60"/>
      <c r="DY304" s="60">
        <f t="shared" si="827"/>
        <v>0</v>
      </c>
      <c r="DZ304" s="60">
        <f t="shared" si="827"/>
        <v>0</v>
      </c>
      <c r="EA304" s="60"/>
      <c r="EB304" s="60"/>
      <c r="EC304" s="43">
        <f t="shared" si="764"/>
        <v>0</v>
      </c>
      <c r="ED304" s="43">
        <f t="shared" si="764"/>
        <v>0</v>
      </c>
      <c r="EE304" s="43"/>
      <c r="EF304" s="43"/>
      <c r="EG304" s="43" t="e">
        <f t="shared" si="795"/>
        <v>#DIV/0!</v>
      </c>
      <c r="EH304" s="43" t="e">
        <f t="shared" si="795"/>
        <v>#DIV/0!</v>
      </c>
      <c r="EI304" s="43">
        <f t="shared" si="765"/>
        <v>0</v>
      </c>
      <c r="EJ304" s="43">
        <f t="shared" si="765"/>
        <v>0</v>
      </c>
      <c r="EK304" s="43">
        <f t="shared" si="766"/>
        <v>0</v>
      </c>
      <c r="EL304" s="43">
        <f t="shared" si="766"/>
        <v>0</v>
      </c>
      <c r="EM304" s="43">
        <f t="shared" si="767"/>
        <v>0</v>
      </c>
      <c r="EN304" s="43">
        <f t="shared" si="767"/>
        <v>0</v>
      </c>
      <c r="EO304" s="43"/>
      <c r="EP304" s="43"/>
      <c r="EQ304" s="5"/>
      <c r="ER304" s="5"/>
      <c r="ES304" s="5"/>
      <c r="ET304" s="5"/>
      <c r="EU304" s="5">
        <f t="shared" si="814"/>
        <v>0</v>
      </c>
      <c r="EV304" s="5">
        <f t="shared" si="814"/>
        <v>0</v>
      </c>
    </row>
    <row r="305" spans="1:160" ht="18.75" x14ac:dyDescent="0.25">
      <c r="A305" s="37">
        <v>15</v>
      </c>
      <c r="B305" s="37"/>
      <c r="C305" s="80"/>
      <c r="D305" s="38" t="s">
        <v>617</v>
      </c>
      <c r="E305" s="39"/>
      <c r="F305" s="40">
        <v>0</v>
      </c>
      <c r="G305" s="40">
        <v>0</v>
      </c>
      <c r="H305" s="40">
        <v>0</v>
      </c>
      <c r="I305" s="40">
        <v>0</v>
      </c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92"/>
      <c r="U305" s="92"/>
      <c r="V305" s="40">
        <v>0</v>
      </c>
      <c r="W305" s="40">
        <f t="shared" si="829"/>
        <v>0</v>
      </c>
      <c r="X305" s="43">
        <f t="shared" si="716"/>
        <v>0</v>
      </c>
      <c r="Y305" s="43">
        <f t="shared" si="716"/>
        <v>0</v>
      </c>
      <c r="Z305" s="43"/>
      <c r="AA305" s="43"/>
      <c r="AB305" s="43">
        <f t="shared" si="742"/>
        <v>0</v>
      </c>
      <c r="AC305" s="43">
        <f t="shared" si="743"/>
        <v>0</v>
      </c>
      <c r="AD305" s="43"/>
      <c r="AE305" s="43"/>
      <c r="AF305" s="43">
        <f t="shared" si="718"/>
        <v>0</v>
      </c>
      <c r="AG305" s="43">
        <f t="shared" si="719"/>
        <v>0</v>
      </c>
      <c r="AH305" s="43">
        <f t="shared" si="719"/>
        <v>0</v>
      </c>
      <c r="AI305" s="93">
        <f t="shared" si="720"/>
        <v>0</v>
      </c>
      <c r="AJ305" s="43">
        <f t="shared" si="720"/>
        <v>0</v>
      </c>
      <c r="AK305" s="43"/>
      <c r="AL305" s="43"/>
      <c r="AM305" s="43">
        <f t="shared" si="721"/>
        <v>0</v>
      </c>
      <c r="AN305" s="43">
        <f t="shared" si="722"/>
        <v>0</v>
      </c>
      <c r="AO305" s="43"/>
      <c r="AP305" s="43"/>
      <c r="AQ305" s="43">
        <f t="shared" si="723"/>
        <v>0</v>
      </c>
      <c r="AR305" s="43">
        <f t="shared" si="723"/>
        <v>0</v>
      </c>
      <c r="AS305" s="43"/>
      <c r="AT305" s="43"/>
      <c r="AU305" s="43">
        <f t="shared" si="804"/>
        <v>0</v>
      </c>
      <c r="AV305" s="43">
        <f t="shared" si="804"/>
        <v>0</v>
      </c>
      <c r="AW305" s="43"/>
      <c r="AX305" s="43"/>
      <c r="AY305" s="43">
        <f t="shared" si="724"/>
        <v>0</v>
      </c>
      <c r="AZ305" s="43">
        <f t="shared" si="724"/>
        <v>0</v>
      </c>
      <c r="BA305" s="43">
        <f t="shared" si="725"/>
        <v>0</v>
      </c>
      <c r="BB305" s="60"/>
      <c r="BC305" s="60"/>
      <c r="BD305" s="60">
        <f t="shared" si="726"/>
        <v>0</v>
      </c>
      <c r="BE305" s="60">
        <f t="shared" si="726"/>
        <v>0</v>
      </c>
      <c r="BF305" s="60">
        <f t="shared" si="727"/>
        <v>0</v>
      </c>
      <c r="BG305" s="60">
        <f t="shared" si="727"/>
        <v>0</v>
      </c>
      <c r="BH305" s="43">
        <v>0</v>
      </c>
      <c r="BI305" s="43">
        <v>0</v>
      </c>
      <c r="BJ305" s="43"/>
      <c r="BK305" s="43"/>
      <c r="BL305" s="43">
        <f t="shared" si="739"/>
        <v>0</v>
      </c>
      <c r="BM305" s="43">
        <f t="shared" si="739"/>
        <v>0</v>
      </c>
      <c r="BN305" s="43">
        <f t="shared" si="751"/>
        <v>0</v>
      </c>
      <c r="BO305" s="43">
        <v>0</v>
      </c>
      <c r="BP305" s="93"/>
      <c r="BQ305" s="43">
        <f t="shared" si="752"/>
        <v>0</v>
      </c>
      <c r="BR305" s="43">
        <f t="shared" si="752"/>
        <v>0</v>
      </c>
      <c r="BS305" s="43">
        <f t="shared" si="753"/>
        <v>0</v>
      </c>
      <c r="BT305" s="43">
        <f t="shared" si="753"/>
        <v>0</v>
      </c>
      <c r="BU305" s="43">
        <f t="shared" si="779"/>
        <v>0</v>
      </c>
      <c r="BV305" s="43">
        <f t="shared" si="828"/>
        <v>0</v>
      </c>
      <c r="BW305" s="43"/>
      <c r="BX305" s="43"/>
      <c r="BY305" s="43"/>
      <c r="BZ305" s="43"/>
      <c r="CA305" s="43">
        <v>0</v>
      </c>
      <c r="CB305" s="43">
        <v>0</v>
      </c>
      <c r="CC305" s="92">
        <v>0</v>
      </c>
      <c r="CD305" s="92">
        <v>0</v>
      </c>
      <c r="CE305" s="92">
        <v>0</v>
      </c>
      <c r="CF305" s="92">
        <v>0</v>
      </c>
      <c r="CG305" s="92">
        <f t="shared" si="754"/>
        <v>0</v>
      </c>
      <c r="CH305" s="92">
        <f t="shared" si="754"/>
        <v>0</v>
      </c>
      <c r="CI305" s="43"/>
      <c r="CJ305" s="43"/>
      <c r="CK305" s="43"/>
      <c r="CL305" s="43"/>
      <c r="CM305" s="43"/>
      <c r="CN305" s="43"/>
      <c r="CO305" s="43"/>
      <c r="CP305" s="43"/>
      <c r="CQ305" s="43">
        <f t="shared" si="755"/>
        <v>0</v>
      </c>
      <c r="CR305" s="43">
        <f t="shared" si="755"/>
        <v>0</v>
      </c>
      <c r="CS305" s="43">
        <f t="shared" si="756"/>
        <v>0</v>
      </c>
      <c r="CT305" s="43">
        <f t="shared" si="756"/>
        <v>0</v>
      </c>
      <c r="CU305" s="43"/>
      <c r="CV305" s="43"/>
      <c r="CW305" s="43">
        <f t="shared" si="757"/>
        <v>0</v>
      </c>
      <c r="CX305" s="43">
        <f t="shared" si="757"/>
        <v>0</v>
      </c>
      <c r="CY305" s="43"/>
      <c r="CZ305" s="43"/>
      <c r="DA305" s="43">
        <f t="shared" si="758"/>
        <v>0</v>
      </c>
      <c r="DB305" s="43">
        <f t="shared" si="758"/>
        <v>0</v>
      </c>
      <c r="DC305" s="43"/>
      <c r="DD305" s="43"/>
      <c r="DE305" s="43">
        <f t="shared" si="759"/>
        <v>0</v>
      </c>
      <c r="DF305" s="43">
        <f t="shared" si="759"/>
        <v>0</v>
      </c>
      <c r="DG305" s="43">
        <f t="shared" si="824"/>
        <v>0</v>
      </c>
      <c r="DH305" s="43">
        <f t="shared" si="824"/>
        <v>0</v>
      </c>
      <c r="DI305" s="43">
        <f t="shared" si="825"/>
        <v>0</v>
      </c>
      <c r="DJ305" s="43">
        <f>+DH305-DF305</f>
        <v>0</v>
      </c>
      <c r="DK305" s="43"/>
      <c r="DL305" s="43"/>
      <c r="DM305" s="43">
        <f t="shared" si="760"/>
        <v>0</v>
      </c>
      <c r="DN305" s="43">
        <f t="shared" si="760"/>
        <v>0</v>
      </c>
      <c r="DO305" s="60"/>
      <c r="DP305" s="60"/>
      <c r="DQ305" s="60">
        <f t="shared" si="761"/>
        <v>0</v>
      </c>
      <c r="DR305" s="60">
        <f t="shared" si="761"/>
        <v>0</v>
      </c>
      <c r="DS305" s="60">
        <f t="shared" si="762"/>
        <v>0</v>
      </c>
      <c r="DT305" s="60">
        <f t="shared" si="762"/>
        <v>0</v>
      </c>
      <c r="DU305" s="60">
        <f t="shared" si="763"/>
        <v>0</v>
      </c>
      <c r="DV305" s="60">
        <f t="shared" si="763"/>
        <v>0</v>
      </c>
      <c r="DW305" s="60"/>
      <c r="DX305" s="60"/>
      <c r="DY305" s="60">
        <f t="shared" si="827"/>
        <v>0</v>
      </c>
      <c r="DZ305" s="60">
        <f t="shared" si="827"/>
        <v>0</v>
      </c>
      <c r="EA305" s="60"/>
      <c r="EB305" s="60"/>
      <c r="EC305" s="43">
        <f t="shared" si="764"/>
        <v>0</v>
      </c>
      <c r="ED305" s="43">
        <f t="shared" si="764"/>
        <v>0</v>
      </c>
      <c r="EE305" s="43"/>
      <c r="EF305" s="43"/>
      <c r="EG305" s="43" t="e">
        <f t="shared" si="795"/>
        <v>#DIV/0!</v>
      </c>
      <c r="EH305" s="43" t="e">
        <f t="shared" si="795"/>
        <v>#DIV/0!</v>
      </c>
      <c r="EI305" s="43">
        <f t="shared" si="765"/>
        <v>0</v>
      </c>
      <c r="EJ305" s="43">
        <f t="shared" si="765"/>
        <v>0</v>
      </c>
      <c r="EK305" s="43">
        <f t="shared" si="766"/>
        <v>0</v>
      </c>
      <c r="EL305" s="43">
        <f t="shared" si="766"/>
        <v>0</v>
      </c>
      <c r="EM305" s="43">
        <f t="shared" si="767"/>
        <v>0</v>
      </c>
      <c r="EN305" s="43">
        <f t="shared" si="767"/>
        <v>0</v>
      </c>
      <c r="EO305" s="43"/>
      <c r="EP305" s="43"/>
      <c r="EQ305" s="5"/>
      <c r="ER305" s="5"/>
      <c r="ES305" s="5"/>
      <c r="ET305" s="5"/>
      <c r="EU305" s="5">
        <f t="shared" si="814"/>
        <v>0</v>
      </c>
      <c r="EV305" s="5">
        <f t="shared" si="814"/>
        <v>0</v>
      </c>
    </row>
    <row r="306" spans="1:160" ht="18.75" x14ac:dyDescent="0.25">
      <c r="A306" s="37">
        <v>16</v>
      </c>
      <c r="B306" s="37"/>
      <c r="C306" s="80"/>
      <c r="D306" s="38" t="s">
        <v>618</v>
      </c>
      <c r="E306" s="39"/>
      <c r="F306" s="40">
        <v>0</v>
      </c>
      <c r="G306" s="40">
        <v>0</v>
      </c>
      <c r="H306" s="40">
        <v>0</v>
      </c>
      <c r="I306" s="40">
        <v>0</v>
      </c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92"/>
      <c r="U306" s="92"/>
      <c r="V306" s="40">
        <v>0</v>
      </c>
      <c r="W306" s="40">
        <f t="shared" si="829"/>
        <v>0</v>
      </c>
      <c r="X306" s="43">
        <f t="shared" si="716"/>
        <v>0</v>
      </c>
      <c r="Y306" s="43">
        <f t="shared" si="716"/>
        <v>0</v>
      </c>
      <c r="Z306" s="43"/>
      <c r="AA306" s="43"/>
      <c r="AB306" s="43">
        <f t="shared" si="742"/>
        <v>0</v>
      </c>
      <c r="AC306" s="43">
        <f t="shared" si="743"/>
        <v>0</v>
      </c>
      <c r="AD306" s="43"/>
      <c r="AE306" s="43"/>
      <c r="AF306" s="43">
        <f t="shared" si="718"/>
        <v>0</v>
      </c>
      <c r="AG306" s="43">
        <f t="shared" si="719"/>
        <v>0</v>
      </c>
      <c r="AH306" s="43">
        <f t="shared" si="719"/>
        <v>0</v>
      </c>
      <c r="AI306" s="93">
        <f t="shared" si="720"/>
        <v>0</v>
      </c>
      <c r="AJ306" s="43">
        <f t="shared" si="720"/>
        <v>0</v>
      </c>
      <c r="AK306" s="43"/>
      <c r="AL306" s="43"/>
      <c r="AM306" s="43">
        <f t="shared" si="721"/>
        <v>0</v>
      </c>
      <c r="AN306" s="43">
        <f t="shared" si="722"/>
        <v>0</v>
      </c>
      <c r="AO306" s="43"/>
      <c r="AP306" s="43"/>
      <c r="AQ306" s="43">
        <f t="shared" si="723"/>
        <v>0</v>
      </c>
      <c r="AR306" s="43">
        <f t="shared" si="723"/>
        <v>0</v>
      </c>
      <c r="AS306" s="43"/>
      <c r="AT306" s="43"/>
      <c r="AU306" s="43">
        <f t="shared" si="804"/>
        <v>0</v>
      </c>
      <c r="AV306" s="43">
        <f t="shared" si="804"/>
        <v>0</v>
      </c>
      <c r="AW306" s="43"/>
      <c r="AX306" s="43"/>
      <c r="AY306" s="43">
        <f t="shared" si="724"/>
        <v>0</v>
      </c>
      <c r="AZ306" s="43">
        <f t="shared" si="724"/>
        <v>0</v>
      </c>
      <c r="BA306" s="43">
        <f t="shared" si="725"/>
        <v>0</v>
      </c>
      <c r="BB306" s="60"/>
      <c r="BC306" s="60"/>
      <c r="BD306" s="60">
        <f t="shared" si="726"/>
        <v>0</v>
      </c>
      <c r="BE306" s="60">
        <f t="shared" si="726"/>
        <v>0</v>
      </c>
      <c r="BF306" s="60">
        <f t="shared" si="727"/>
        <v>0</v>
      </c>
      <c r="BG306" s="60">
        <f t="shared" si="727"/>
        <v>0</v>
      </c>
      <c r="BH306" s="43">
        <v>0</v>
      </c>
      <c r="BI306" s="43">
        <v>0</v>
      </c>
      <c r="BJ306" s="43"/>
      <c r="BK306" s="43"/>
      <c r="BL306" s="43">
        <f t="shared" si="739"/>
        <v>0</v>
      </c>
      <c r="BM306" s="43">
        <f t="shared" si="739"/>
        <v>0</v>
      </c>
      <c r="BN306" s="43">
        <f t="shared" si="751"/>
        <v>0</v>
      </c>
      <c r="BO306" s="43">
        <v>0</v>
      </c>
      <c r="BP306" s="93"/>
      <c r="BQ306" s="43">
        <f t="shared" si="752"/>
        <v>0</v>
      </c>
      <c r="BR306" s="43">
        <f t="shared" si="752"/>
        <v>0</v>
      </c>
      <c r="BS306" s="43">
        <f t="shared" si="753"/>
        <v>0</v>
      </c>
      <c r="BT306" s="43">
        <f t="shared" si="753"/>
        <v>0</v>
      </c>
      <c r="BU306" s="43">
        <f t="shared" si="779"/>
        <v>0</v>
      </c>
      <c r="BV306" s="43">
        <f t="shared" si="828"/>
        <v>0</v>
      </c>
      <c r="BW306" s="43"/>
      <c r="BX306" s="43"/>
      <c r="BY306" s="43"/>
      <c r="BZ306" s="43"/>
      <c r="CA306" s="43">
        <v>0</v>
      </c>
      <c r="CB306" s="43">
        <v>0</v>
      </c>
      <c r="CC306" s="92">
        <v>0</v>
      </c>
      <c r="CD306" s="92">
        <v>0</v>
      </c>
      <c r="CE306" s="92">
        <v>0</v>
      </c>
      <c r="CF306" s="92">
        <v>0</v>
      </c>
      <c r="CG306" s="92">
        <f t="shared" si="754"/>
        <v>0</v>
      </c>
      <c r="CH306" s="92">
        <f t="shared" si="754"/>
        <v>0</v>
      </c>
      <c r="CI306" s="43"/>
      <c r="CJ306" s="43"/>
      <c r="CK306" s="43"/>
      <c r="CL306" s="43"/>
      <c r="CM306" s="43"/>
      <c r="CN306" s="43"/>
      <c r="CO306" s="43"/>
      <c r="CP306" s="43"/>
      <c r="CQ306" s="43">
        <f t="shared" si="755"/>
        <v>0</v>
      </c>
      <c r="CR306" s="43">
        <f t="shared" si="755"/>
        <v>0</v>
      </c>
      <c r="CS306" s="43">
        <f t="shared" si="756"/>
        <v>0</v>
      </c>
      <c r="CT306" s="43">
        <f t="shared" si="756"/>
        <v>0</v>
      </c>
      <c r="CU306" s="43"/>
      <c r="CV306" s="43"/>
      <c r="CW306" s="43">
        <f t="shared" si="757"/>
        <v>0</v>
      </c>
      <c r="CX306" s="43">
        <f t="shared" si="757"/>
        <v>0</v>
      </c>
      <c r="CY306" s="43"/>
      <c r="CZ306" s="43"/>
      <c r="DA306" s="43">
        <f t="shared" si="758"/>
        <v>0</v>
      </c>
      <c r="DB306" s="43">
        <f t="shared" si="758"/>
        <v>0</v>
      </c>
      <c r="DC306" s="43"/>
      <c r="DD306" s="43"/>
      <c r="DE306" s="43">
        <f t="shared" si="759"/>
        <v>0</v>
      </c>
      <c r="DF306" s="43">
        <f t="shared" si="759"/>
        <v>0</v>
      </c>
      <c r="DG306" s="43">
        <f t="shared" si="824"/>
        <v>0</v>
      </c>
      <c r="DH306" s="43">
        <f t="shared" si="824"/>
        <v>0</v>
      </c>
      <c r="DI306" s="43">
        <f t="shared" si="825"/>
        <v>0</v>
      </c>
      <c r="DJ306" s="43">
        <f>+DH306-DF306</f>
        <v>0</v>
      </c>
      <c r="DK306" s="43"/>
      <c r="DL306" s="43"/>
      <c r="DM306" s="43">
        <f t="shared" si="760"/>
        <v>0</v>
      </c>
      <c r="DN306" s="43">
        <f t="shared" si="760"/>
        <v>0</v>
      </c>
      <c r="DO306" s="60"/>
      <c r="DP306" s="60"/>
      <c r="DQ306" s="60">
        <f t="shared" si="761"/>
        <v>0</v>
      </c>
      <c r="DR306" s="60">
        <f t="shared" si="761"/>
        <v>0</v>
      </c>
      <c r="DS306" s="60">
        <f t="shared" si="762"/>
        <v>0</v>
      </c>
      <c r="DT306" s="60">
        <f t="shared" si="762"/>
        <v>0</v>
      </c>
      <c r="DU306" s="60">
        <f t="shared" si="763"/>
        <v>0</v>
      </c>
      <c r="DV306" s="60">
        <f t="shared" si="763"/>
        <v>0</v>
      </c>
      <c r="DW306" s="60"/>
      <c r="DX306" s="60"/>
      <c r="DY306" s="60">
        <f t="shared" si="827"/>
        <v>0</v>
      </c>
      <c r="DZ306" s="60">
        <f t="shared" si="827"/>
        <v>0</v>
      </c>
      <c r="EA306" s="60"/>
      <c r="EB306" s="60"/>
      <c r="EC306" s="43">
        <f t="shared" si="764"/>
        <v>0</v>
      </c>
      <c r="ED306" s="43">
        <f t="shared" si="764"/>
        <v>0</v>
      </c>
      <c r="EE306" s="43"/>
      <c r="EF306" s="43"/>
      <c r="EG306" s="43" t="e">
        <f t="shared" si="795"/>
        <v>#DIV/0!</v>
      </c>
      <c r="EH306" s="43" t="e">
        <f t="shared" si="795"/>
        <v>#DIV/0!</v>
      </c>
      <c r="EI306" s="43">
        <f t="shared" si="765"/>
        <v>0</v>
      </c>
      <c r="EJ306" s="43">
        <f t="shared" si="765"/>
        <v>0</v>
      </c>
      <c r="EK306" s="43">
        <f t="shared" si="766"/>
        <v>0</v>
      </c>
      <c r="EL306" s="43">
        <f t="shared" si="766"/>
        <v>0</v>
      </c>
      <c r="EM306" s="43">
        <f t="shared" si="767"/>
        <v>0</v>
      </c>
      <c r="EN306" s="43">
        <f t="shared" si="767"/>
        <v>0</v>
      </c>
      <c r="EO306" s="43"/>
      <c r="EP306" s="43"/>
      <c r="EQ306" s="5"/>
      <c r="ER306" s="5"/>
      <c r="ES306" s="5"/>
      <c r="ET306" s="5"/>
      <c r="EU306" s="5">
        <f t="shared" si="814"/>
        <v>0</v>
      </c>
      <c r="EV306" s="5">
        <f t="shared" si="814"/>
        <v>0</v>
      </c>
    </row>
    <row r="307" spans="1:160" ht="18.75" x14ac:dyDescent="0.25">
      <c r="A307" s="37">
        <v>17</v>
      </c>
      <c r="B307" s="37"/>
      <c r="C307" s="80"/>
      <c r="D307" s="38" t="s">
        <v>619</v>
      </c>
      <c r="E307" s="39"/>
      <c r="F307" s="40">
        <v>0</v>
      </c>
      <c r="G307" s="40">
        <v>0</v>
      </c>
      <c r="H307" s="40">
        <v>0</v>
      </c>
      <c r="I307" s="40">
        <v>0</v>
      </c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92"/>
      <c r="U307" s="92"/>
      <c r="V307" s="40">
        <v>0</v>
      </c>
      <c r="W307" s="40">
        <f t="shared" si="829"/>
        <v>0</v>
      </c>
      <c r="X307" s="43">
        <f t="shared" si="716"/>
        <v>0</v>
      </c>
      <c r="Y307" s="43">
        <f t="shared" si="716"/>
        <v>0</v>
      </c>
      <c r="Z307" s="43"/>
      <c r="AA307" s="43"/>
      <c r="AB307" s="43">
        <f t="shared" si="742"/>
        <v>0</v>
      </c>
      <c r="AC307" s="43">
        <f t="shared" si="743"/>
        <v>0</v>
      </c>
      <c r="AD307" s="43"/>
      <c r="AE307" s="43"/>
      <c r="AF307" s="43">
        <f t="shared" si="718"/>
        <v>0</v>
      </c>
      <c r="AG307" s="43">
        <f t="shared" si="719"/>
        <v>0</v>
      </c>
      <c r="AH307" s="43">
        <f t="shared" si="719"/>
        <v>0</v>
      </c>
      <c r="AI307" s="93">
        <f t="shared" si="720"/>
        <v>0</v>
      </c>
      <c r="AJ307" s="43">
        <f t="shared" si="720"/>
        <v>0</v>
      </c>
      <c r="AK307" s="43"/>
      <c r="AL307" s="43"/>
      <c r="AM307" s="43">
        <f t="shared" si="721"/>
        <v>0</v>
      </c>
      <c r="AN307" s="43">
        <f t="shared" si="722"/>
        <v>0</v>
      </c>
      <c r="AO307" s="43"/>
      <c r="AP307" s="43"/>
      <c r="AQ307" s="43">
        <f t="shared" si="723"/>
        <v>0</v>
      </c>
      <c r="AR307" s="43">
        <f t="shared" si="723"/>
        <v>0</v>
      </c>
      <c r="AS307" s="43"/>
      <c r="AT307" s="43"/>
      <c r="AU307" s="43">
        <f t="shared" si="804"/>
        <v>0</v>
      </c>
      <c r="AV307" s="43">
        <f t="shared" si="804"/>
        <v>0</v>
      </c>
      <c r="AW307" s="43"/>
      <c r="AX307" s="43"/>
      <c r="AY307" s="43">
        <f t="shared" si="724"/>
        <v>0</v>
      </c>
      <c r="AZ307" s="43">
        <f t="shared" si="724"/>
        <v>0</v>
      </c>
      <c r="BA307" s="43">
        <f t="shared" si="725"/>
        <v>0</v>
      </c>
      <c r="BB307" s="60"/>
      <c r="BC307" s="60"/>
      <c r="BD307" s="60">
        <f t="shared" si="726"/>
        <v>0</v>
      </c>
      <c r="BE307" s="60">
        <f t="shared" si="726"/>
        <v>0</v>
      </c>
      <c r="BF307" s="60">
        <f t="shared" si="727"/>
        <v>0</v>
      </c>
      <c r="BG307" s="60">
        <f t="shared" si="727"/>
        <v>0</v>
      </c>
      <c r="BH307" s="43">
        <v>0</v>
      </c>
      <c r="BI307" s="43">
        <v>0</v>
      </c>
      <c r="BJ307" s="43"/>
      <c r="BK307" s="43"/>
      <c r="BL307" s="43">
        <f t="shared" ref="BL307:BM309" si="830">+BH307+AY307+BJ307</f>
        <v>0</v>
      </c>
      <c r="BM307" s="43">
        <f t="shared" si="830"/>
        <v>0</v>
      </c>
      <c r="BN307" s="43">
        <f t="shared" si="751"/>
        <v>0</v>
      </c>
      <c r="BO307" s="43">
        <v>0</v>
      </c>
      <c r="BP307" s="93"/>
      <c r="BQ307" s="43">
        <f t="shared" si="752"/>
        <v>0</v>
      </c>
      <c r="BR307" s="43">
        <f t="shared" si="752"/>
        <v>0</v>
      </c>
      <c r="BS307" s="43">
        <f t="shared" si="753"/>
        <v>0</v>
      </c>
      <c r="BT307" s="43">
        <f t="shared" si="753"/>
        <v>0</v>
      </c>
      <c r="BU307" s="43">
        <f t="shared" si="779"/>
        <v>0</v>
      </c>
      <c r="BV307" s="43">
        <f t="shared" si="828"/>
        <v>0</v>
      </c>
      <c r="BW307" s="43"/>
      <c r="BX307" s="43"/>
      <c r="BY307" s="43"/>
      <c r="BZ307" s="43"/>
      <c r="CA307" s="43">
        <v>0</v>
      </c>
      <c r="CB307" s="43">
        <v>0</v>
      </c>
      <c r="CC307" s="92">
        <v>0</v>
      </c>
      <c r="CD307" s="92">
        <v>0</v>
      </c>
      <c r="CE307" s="92">
        <v>0</v>
      </c>
      <c r="CF307" s="92">
        <v>0</v>
      </c>
      <c r="CG307" s="92">
        <f t="shared" si="754"/>
        <v>0</v>
      </c>
      <c r="CH307" s="92">
        <f t="shared" si="754"/>
        <v>0</v>
      </c>
      <c r="CI307" s="43"/>
      <c r="CJ307" s="43"/>
      <c r="CK307" s="43"/>
      <c r="CL307" s="43"/>
      <c r="CM307" s="43"/>
      <c r="CN307" s="43"/>
      <c r="CO307" s="43"/>
      <c r="CP307" s="43"/>
      <c r="CQ307" s="43">
        <f t="shared" si="755"/>
        <v>0</v>
      </c>
      <c r="CR307" s="43">
        <f t="shared" si="755"/>
        <v>0</v>
      </c>
      <c r="CS307" s="43">
        <f t="shared" si="756"/>
        <v>0</v>
      </c>
      <c r="CT307" s="43">
        <f t="shared" si="756"/>
        <v>0</v>
      </c>
      <c r="CU307" s="43"/>
      <c r="CV307" s="43"/>
      <c r="CW307" s="43">
        <f t="shared" si="757"/>
        <v>0</v>
      </c>
      <c r="CX307" s="43">
        <f t="shared" si="757"/>
        <v>0</v>
      </c>
      <c r="CY307" s="43"/>
      <c r="CZ307" s="43"/>
      <c r="DA307" s="43">
        <f t="shared" si="758"/>
        <v>0</v>
      </c>
      <c r="DB307" s="43">
        <f t="shared" si="758"/>
        <v>0</v>
      </c>
      <c r="DC307" s="43"/>
      <c r="DD307" s="43"/>
      <c r="DE307" s="43">
        <f t="shared" si="759"/>
        <v>0</v>
      </c>
      <c r="DF307" s="43">
        <f t="shared" si="759"/>
        <v>0</v>
      </c>
      <c r="DG307" s="43">
        <f t="shared" si="824"/>
        <v>0</v>
      </c>
      <c r="DH307" s="43">
        <f t="shared" si="824"/>
        <v>0</v>
      </c>
      <c r="DI307" s="43">
        <f t="shared" si="825"/>
        <v>0</v>
      </c>
      <c r="DJ307" s="43">
        <f>+DH307-DF307</f>
        <v>0</v>
      </c>
      <c r="DK307" s="43"/>
      <c r="DL307" s="43"/>
      <c r="DM307" s="43">
        <f t="shared" si="760"/>
        <v>0</v>
      </c>
      <c r="DN307" s="43">
        <f t="shared" si="760"/>
        <v>0</v>
      </c>
      <c r="DO307" s="60"/>
      <c r="DP307" s="60"/>
      <c r="DQ307" s="60">
        <f t="shared" si="761"/>
        <v>0</v>
      </c>
      <c r="DR307" s="60">
        <f t="shared" si="761"/>
        <v>0</v>
      </c>
      <c r="DS307" s="60">
        <f t="shared" si="762"/>
        <v>0</v>
      </c>
      <c r="DT307" s="60">
        <f t="shared" si="762"/>
        <v>0</v>
      </c>
      <c r="DU307" s="60">
        <f t="shared" si="763"/>
        <v>0</v>
      </c>
      <c r="DV307" s="60">
        <f t="shared" si="763"/>
        <v>0</v>
      </c>
      <c r="DW307" s="60"/>
      <c r="DX307" s="60"/>
      <c r="DY307" s="60">
        <f t="shared" si="827"/>
        <v>0</v>
      </c>
      <c r="DZ307" s="60">
        <f t="shared" si="827"/>
        <v>0</v>
      </c>
      <c r="EA307" s="60"/>
      <c r="EB307" s="60"/>
      <c r="EC307" s="43">
        <f t="shared" si="764"/>
        <v>0</v>
      </c>
      <c r="ED307" s="43">
        <f t="shared" si="764"/>
        <v>0</v>
      </c>
      <c r="EE307" s="43"/>
      <c r="EF307" s="43"/>
      <c r="EG307" s="43" t="e">
        <f t="shared" si="795"/>
        <v>#DIV/0!</v>
      </c>
      <c r="EH307" s="43" t="e">
        <f t="shared" si="795"/>
        <v>#DIV/0!</v>
      </c>
      <c r="EI307" s="43">
        <f t="shared" si="765"/>
        <v>0</v>
      </c>
      <c r="EJ307" s="43">
        <f t="shared" si="765"/>
        <v>0</v>
      </c>
      <c r="EK307" s="43">
        <f t="shared" si="766"/>
        <v>0</v>
      </c>
      <c r="EL307" s="43">
        <f t="shared" si="766"/>
        <v>0</v>
      </c>
      <c r="EM307" s="43">
        <f t="shared" si="767"/>
        <v>0</v>
      </c>
      <c r="EN307" s="43">
        <f t="shared" si="767"/>
        <v>0</v>
      </c>
      <c r="EO307" s="43"/>
      <c r="EP307" s="43"/>
      <c r="EQ307" s="5"/>
      <c r="ER307" s="5"/>
      <c r="ES307" s="5"/>
      <c r="ET307" s="5"/>
      <c r="EU307" s="5">
        <f t="shared" si="814"/>
        <v>0</v>
      </c>
      <c r="EV307" s="5">
        <f t="shared" si="814"/>
        <v>0</v>
      </c>
    </row>
    <row r="308" spans="1:160" ht="37.5" x14ac:dyDescent="0.25">
      <c r="A308" s="68"/>
      <c r="B308" s="68"/>
      <c r="C308" s="91"/>
      <c r="D308" s="67" t="s">
        <v>620</v>
      </c>
      <c r="E308" s="69" t="s">
        <v>621</v>
      </c>
      <c r="F308" s="40">
        <f t="shared" ref="F308:AA308" si="831">+F307+F306+F305+F304+F303+F302+F301+F300+F299+F298+F297+F296+F295+F294+F291+F292+F293</f>
        <v>92622.010000000009</v>
      </c>
      <c r="G308" s="40">
        <f t="shared" si="831"/>
        <v>211.61999999999998</v>
      </c>
      <c r="H308" s="40">
        <f t="shared" si="831"/>
        <v>95608.889999999985</v>
      </c>
      <c r="I308" s="40">
        <f t="shared" si="831"/>
        <v>210.49999999999997</v>
      </c>
      <c r="J308" s="40">
        <f t="shared" si="831"/>
        <v>81071.64</v>
      </c>
      <c r="K308" s="40">
        <f t="shared" si="831"/>
        <v>0</v>
      </c>
      <c r="L308" s="40">
        <f t="shared" si="831"/>
        <v>0</v>
      </c>
      <c r="M308" s="40">
        <f t="shared" si="831"/>
        <v>81071.64</v>
      </c>
      <c r="N308" s="40">
        <f t="shared" si="831"/>
        <v>13145.543</v>
      </c>
      <c r="O308" s="40">
        <f t="shared" si="831"/>
        <v>0</v>
      </c>
      <c r="P308" s="40">
        <f t="shared" si="831"/>
        <v>0</v>
      </c>
      <c r="Q308" s="40">
        <f t="shared" si="831"/>
        <v>13145.543</v>
      </c>
      <c r="R308" s="40">
        <f t="shared" si="831"/>
        <v>94217.18299999999</v>
      </c>
      <c r="S308" s="40">
        <f t="shared" si="831"/>
        <v>181</v>
      </c>
      <c r="T308" s="40">
        <f t="shared" si="831"/>
        <v>0</v>
      </c>
      <c r="U308" s="40">
        <f t="shared" si="831"/>
        <v>0</v>
      </c>
      <c r="V308" s="40">
        <f t="shared" si="831"/>
        <v>101182.9</v>
      </c>
      <c r="W308" s="40">
        <f t="shared" si="831"/>
        <v>217.37</v>
      </c>
      <c r="X308" s="40">
        <f t="shared" si="831"/>
        <v>-6965.7169999999978</v>
      </c>
      <c r="Y308" s="40">
        <f t="shared" si="831"/>
        <v>-36.369999999999983</v>
      </c>
      <c r="Z308" s="40">
        <f t="shared" si="831"/>
        <v>80660.58</v>
      </c>
      <c r="AA308" s="40">
        <f t="shared" si="831"/>
        <v>12620.189999999999</v>
      </c>
      <c r="AB308" s="40">
        <f t="shared" si="742"/>
        <v>93280.77</v>
      </c>
      <c r="AC308" s="43">
        <f t="shared" si="743"/>
        <v>0</v>
      </c>
      <c r="AD308" s="40">
        <f t="shared" ref="AD308:CQ308" si="832">+AD307+AD306+AD305+AD304+AD303+AD302+AD301+AD300+AD299+AD298+AD297+AD296+AD295+AD294+AD291+AD292+AD293</f>
        <v>93280.77</v>
      </c>
      <c r="AE308" s="40">
        <f t="shared" si="832"/>
        <v>103.05</v>
      </c>
      <c r="AF308" s="40">
        <f t="shared" si="832"/>
        <v>163.30000000000001</v>
      </c>
      <c r="AG308" s="40">
        <f t="shared" si="832"/>
        <v>23320</v>
      </c>
      <c r="AH308" s="40">
        <f t="shared" si="832"/>
        <v>24</v>
      </c>
      <c r="AI308" s="40">
        <f t="shared" si="832"/>
        <v>7772</v>
      </c>
      <c r="AJ308" s="40">
        <f t="shared" si="832"/>
        <v>8</v>
      </c>
      <c r="AK308" s="40">
        <f t="shared" si="832"/>
        <v>0</v>
      </c>
      <c r="AL308" s="40">
        <f t="shared" si="832"/>
        <v>0</v>
      </c>
      <c r="AM308" s="40">
        <f t="shared" si="832"/>
        <v>23320.21</v>
      </c>
      <c r="AN308" s="40">
        <f t="shared" si="832"/>
        <v>26.63</v>
      </c>
      <c r="AO308" s="40">
        <f t="shared" si="832"/>
        <v>0</v>
      </c>
      <c r="AP308" s="40">
        <f t="shared" si="832"/>
        <v>0</v>
      </c>
      <c r="AQ308" s="40">
        <f t="shared" si="832"/>
        <v>46640.21</v>
      </c>
      <c r="AR308" s="40">
        <f t="shared" si="832"/>
        <v>50.63</v>
      </c>
      <c r="AS308" s="40">
        <f t="shared" si="832"/>
        <v>0</v>
      </c>
      <c r="AT308" s="40">
        <f t="shared" si="832"/>
        <v>0</v>
      </c>
      <c r="AU308" s="40">
        <f t="shared" si="832"/>
        <v>23320.21</v>
      </c>
      <c r="AV308" s="40">
        <f t="shared" si="832"/>
        <v>24.259999999999998</v>
      </c>
      <c r="AW308" s="40">
        <f t="shared" si="832"/>
        <v>28.6</v>
      </c>
      <c r="AX308" s="40">
        <f t="shared" si="832"/>
        <v>50</v>
      </c>
      <c r="AY308" s="40">
        <f t="shared" si="832"/>
        <v>77761.02</v>
      </c>
      <c r="AZ308" s="40">
        <f t="shared" si="832"/>
        <v>132.88999999999999</v>
      </c>
      <c r="BA308" s="40">
        <f t="shared" si="832"/>
        <v>77893.91</v>
      </c>
      <c r="BB308" s="40">
        <f t="shared" si="832"/>
        <v>73459.63</v>
      </c>
      <c r="BC308" s="40">
        <f t="shared" si="832"/>
        <v>132.12</v>
      </c>
      <c r="BD308" s="40">
        <f t="shared" si="832"/>
        <v>4301.3900000000021</v>
      </c>
      <c r="BE308" s="40">
        <f t="shared" si="832"/>
        <v>0.77000000000000424</v>
      </c>
      <c r="BF308" s="40">
        <f t="shared" si="832"/>
        <v>14691.93</v>
      </c>
      <c r="BG308" s="40">
        <f t="shared" si="832"/>
        <v>26.43</v>
      </c>
      <c r="BH308" s="40">
        <f t="shared" si="832"/>
        <v>5448.29</v>
      </c>
      <c r="BI308" s="40">
        <f t="shared" si="832"/>
        <v>29.82</v>
      </c>
      <c r="BJ308" s="40">
        <f t="shared" si="832"/>
        <v>22177.54</v>
      </c>
      <c r="BK308" s="40">
        <f t="shared" si="832"/>
        <v>6.69</v>
      </c>
      <c r="BL308" s="40">
        <f t="shared" si="832"/>
        <v>105386.85000000002</v>
      </c>
      <c r="BM308" s="40">
        <f t="shared" si="832"/>
        <v>169.4</v>
      </c>
      <c r="BN308" s="40">
        <f t="shared" si="832"/>
        <v>105556.25000000003</v>
      </c>
      <c r="BO308" s="40">
        <f t="shared" si="832"/>
        <v>97786.900000000009</v>
      </c>
      <c r="BP308" s="102">
        <f t="shared" si="832"/>
        <v>108.88</v>
      </c>
      <c r="BQ308" s="40">
        <f t="shared" si="832"/>
        <v>7599.9500000000016</v>
      </c>
      <c r="BR308" s="40">
        <f t="shared" si="832"/>
        <v>60.52</v>
      </c>
      <c r="BS308" s="40">
        <f t="shared" si="832"/>
        <v>8889.7300000000014</v>
      </c>
      <c r="BT308" s="40">
        <f t="shared" si="832"/>
        <v>9.9</v>
      </c>
      <c r="BU308" s="40">
        <f t="shared" si="832"/>
        <v>3687.8599999999997</v>
      </c>
      <c r="BV308" s="40">
        <f t="shared" si="832"/>
        <v>7.89</v>
      </c>
      <c r="BW308" s="40">
        <f t="shared" si="832"/>
        <v>7868.27</v>
      </c>
      <c r="BX308" s="40">
        <f t="shared" si="832"/>
        <v>8.76</v>
      </c>
      <c r="BY308" s="40">
        <f t="shared" si="832"/>
        <v>3.14</v>
      </c>
      <c r="BZ308" s="40">
        <f t="shared" si="832"/>
        <v>0</v>
      </c>
      <c r="CA308" s="40">
        <f t="shared" si="832"/>
        <v>116942.98</v>
      </c>
      <c r="CB308" s="40">
        <f t="shared" si="832"/>
        <v>182.91</v>
      </c>
      <c r="CC308" s="40">
        <f t="shared" si="832"/>
        <v>128637.27000000002</v>
      </c>
      <c r="CD308" s="40">
        <f t="shared" si="832"/>
        <v>210.35</v>
      </c>
      <c r="CE308" s="40">
        <f t="shared" si="832"/>
        <v>10721</v>
      </c>
      <c r="CF308" s="40">
        <f t="shared" si="832"/>
        <v>19</v>
      </c>
      <c r="CG308" s="40">
        <f t="shared" si="832"/>
        <v>29235.739999999998</v>
      </c>
      <c r="CH308" s="102">
        <f t="shared" si="832"/>
        <v>45.73</v>
      </c>
      <c r="CI308" s="40">
        <f t="shared" si="832"/>
        <v>0</v>
      </c>
      <c r="CJ308" s="40">
        <f t="shared" si="832"/>
        <v>0</v>
      </c>
      <c r="CK308" s="40">
        <f t="shared" si="832"/>
        <v>26668.13</v>
      </c>
      <c r="CL308" s="40">
        <f t="shared" si="832"/>
        <v>57.5</v>
      </c>
      <c r="CM308" s="40">
        <f t="shared" si="832"/>
        <v>0</v>
      </c>
      <c r="CN308" s="40">
        <f t="shared" si="832"/>
        <v>0</v>
      </c>
      <c r="CO308" s="40">
        <f t="shared" si="832"/>
        <v>110494.87</v>
      </c>
      <c r="CP308" s="40">
        <f t="shared" si="832"/>
        <v>387.5</v>
      </c>
      <c r="CQ308" s="40">
        <f t="shared" si="832"/>
        <v>106672.52</v>
      </c>
      <c r="CR308" s="40">
        <f t="shared" ref="CR308:FB308" si="833">+CR307+CR306+CR305+CR304+CR303+CR302+CR301+CR300+CR299+CR298+CR297+CR296+CR295+CR294+CR291+CR292+CR293</f>
        <v>237</v>
      </c>
      <c r="CS308" s="40">
        <f t="shared" si="833"/>
        <v>103503.51000000001</v>
      </c>
      <c r="CT308" s="40">
        <f t="shared" si="833"/>
        <v>219.5</v>
      </c>
      <c r="CU308" s="40">
        <f t="shared" si="833"/>
        <v>108215.43</v>
      </c>
      <c r="CV308" s="40">
        <f t="shared" si="833"/>
        <v>396.21000000000004</v>
      </c>
      <c r="CW308" s="40">
        <f t="shared" si="833"/>
        <v>26654.36</v>
      </c>
      <c r="CX308" s="40">
        <f t="shared" si="833"/>
        <v>73.930000000000007</v>
      </c>
      <c r="CY308" s="40">
        <f t="shared" si="833"/>
        <v>436.24</v>
      </c>
      <c r="CZ308" s="40">
        <f t="shared" si="833"/>
        <v>155.75</v>
      </c>
      <c r="DA308" s="40">
        <f t="shared" si="833"/>
        <v>64479.729999999996</v>
      </c>
      <c r="DB308" s="40">
        <f t="shared" si="833"/>
        <v>306.18</v>
      </c>
      <c r="DC308" s="40">
        <f t="shared" si="833"/>
        <v>59889.020000000004</v>
      </c>
      <c r="DD308" s="40">
        <f t="shared" si="833"/>
        <v>209.55</v>
      </c>
      <c r="DE308" s="40">
        <f t="shared" si="833"/>
        <v>4590.7100000000009</v>
      </c>
      <c r="DF308" s="40">
        <f t="shared" si="833"/>
        <v>96.63</v>
      </c>
      <c r="DG308" s="40">
        <f t="shared" si="833"/>
        <v>26595.25</v>
      </c>
      <c r="DH308" s="40">
        <f t="shared" si="833"/>
        <v>93.18</v>
      </c>
      <c r="DI308" s="40">
        <f t="shared" si="833"/>
        <v>23871.47</v>
      </c>
      <c r="DJ308" s="40">
        <f t="shared" si="833"/>
        <v>17.54</v>
      </c>
      <c r="DK308" s="40">
        <f t="shared" si="833"/>
        <v>8</v>
      </c>
      <c r="DL308" s="40">
        <f t="shared" si="833"/>
        <v>45</v>
      </c>
      <c r="DM308" s="40">
        <f t="shared" si="833"/>
        <v>88359.200000000012</v>
      </c>
      <c r="DN308" s="70">
        <f t="shared" si="833"/>
        <v>368.72</v>
      </c>
      <c r="DO308" s="70">
        <f t="shared" si="833"/>
        <v>86407.08</v>
      </c>
      <c r="DP308" s="70">
        <f t="shared" si="833"/>
        <v>312.13</v>
      </c>
      <c r="DQ308" s="70">
        <f t="shared" si="833"/>
        <v>1952.12</v>
      </c>
      <c r="DR308" s="70">
        <f t="shared" si="833"/>
        <v>56.590000000000011</v>
      </c>
      <c r="DS308" s="70">
        <f t="shared" si="833"/>
        <v>8640.7080000000005</v>
      </c>
      <c r="DT308" s="70">
        <f t="shared" si="833"/>
        <v>31.212999999999997</v>
      </c>
      <c r="DU308" s="70">
        <f t="shared" si="833"/>
        <v>6688.5880000000006</v>
      </c>
      <c r="DV308" s="70">
        <f t="shared" si="833"/>
        <v>-25.377000000000002</v>
      </c>
      <c r="DW308" s="70">
        <f t="shared" si="833"/>
        <v>0</v>
      </c>
      <c r="DX308" s="70">
        <f t="shared" si="833"/>
        <v>0</v>
      </c>
      <c r="DY308" s="70">
        <f t="shared" si="833"/>
        <v>6953.23</v>
      </c>
      <c r="DZ308" s="70">
        <f t="shared" si="833"/>
        <v>0</v>
      </c>
      <c r="EA308" s="70">
        <f t="shared" si="833"/>
        <v>0</v>
      </c>
      <c r="EB308" s="96">
        <f t="shared" si="833"/>
        <v>7.77</v>
      </c>
      <c r="EC308" s="70">
        <f t="shared" si="833"/>
        <v>95312.43</v>
      </c>
      <c r="ED308" s="70">
        <f t="shared" si="833"/>
        <v>376.49</v>
      </c>
      <c r="EE308" s="70">
        <f t="shared" si="833"/>
        <v>90470</v>
      </c>
      <c r="EF308" s="70">
        <f t="shared" si="833"/>
        <v>336.04087999999996</v>
      </c>
      <c r="EG308" s="70" t="e">
        <f t="shared" si="833"/>
        <v>#DIV/0!</v>
      </c>
      <c r="EH308" s="70" t="e">
        <f t="shared" si="833"/>
        <v>#DIV/0!</v>
      </c>
      <c r="EI308" s="70">
        <f t="shared" si="833"/>
        <v>4842.43</v>
      </c>
      <c r="EJ308" s="70">
        <f t="shared" si="833"/>
        <v>40.450000000000003</v>
      </c>
      <c r="EK308" s="70">
        <f t="shared" si="833"/>
        <v>8224.5600000000013</v>
      </c>
      <c r="EL308" s="70">
        <f t="shared" si="833"/>
        <v>30.54</v>
      </c>
      <c r="EM308" s="70">
        <f t="shared" si="833"/>
        <v>3382.1300000000006</v>
      </c>
      <c r="EN308" s="70">
        <f t="shared" si="833"/>
        <v>-9.91</v>
      </c>
      <c r="EO308" s="70">
        <f t="shared" si="833"/>
        <v>8842.4399999999987</v>
      </c>
      <c r="EP308" s="70">
        <f t="shared" si="833"/>
        <v>38</v>
      </c>
      <c r="EQ308" s="79">
        <f t="shared" si="833"/>
        <v>0</v>
      </c>
      <c r="ER308" s="62">
        <f t="shared" si="833"/>
        <v>0</v>
      </c>
      <c r="ES308" s="62">
        <f t="shared" si="833"/>
        <v>1157.31</v>
      </c>
      <c r="ET308" s="62">
        <f t="shared" si="833"/>
        <v>8</v>
      </c>
      <c r="EU308" s="5">
        <f t="shared" si="814"/>
        <v>4876.0699999999961</v>
      </c>
      <c r="EV308" s="5">
        <f t="shared" si="814"/>
        <v>-23.609999999999957</v>
      </c>
      <c r="EW308" s="62">
        <f t="shared" si="833"/>
        <v>109030.93999999999</v>
      </c>
      <c r="EX308" s="64">
        <f t="shared" si="833"/>
        <v>390.88000000000005</v>
      </c>
      <c r="EY308" s="64">
        <f t="shared" si="833"/>
        <v>121152.81000000001</v>
      </c>
      <c r="EZ308" s="64">
        <f t="shared" si="833"/>
        <v>103</v>
      </c>
      <c r="FA308" s="64">
        <f t="shared" si="833"/>
        <v>8200</v>
      </c>
      <c r="FB308" s="64">
        <f t="shared" si="833"/>
        <v>0</v>
      </c>
    </row>
    <row r="309" spans="1:160" ht="37.5" x14ac:dyDescent="0.25">
      <c r="A309" s="68"/>
      <c r="B309" s="68" t="s">
        <v>622</v>
      </c>
      <c r="C309" s="91" t="s">
        <v>122</v>
      </c>
      <c r="D309" s="67" t="s">
        <v>623</v>
      </c>
      <c r="E309" s="69" t="s">
        <v>624</v>
      </c>
      <c r="F309" s="40">
        <v>0</v>
      </c>
      <c r="G309" s="40">
        <v>0</v>
      </c>
      <c r="H309" s="40"/>
      <c r="I309" s="70"/>
      <c r="J309" s="71"/>
      <c r="K309" s="41"/>
      <c r="L309" s="41"/>
      <c r="M309" s="41"/>
      <c r="N309" s="41"/>
      <c r="O309" s="41"/>
      <c r="P309" s="41"/>
      <c r="Q309" s="41"/>
      <c r="R309" s="41"/>
      <c r="S309" s="41"/>
      <c r="T309" s="92"/>
      <c r="U309" s="92"/>
      <c r="V309" s="70">
        <v>0</v>
      </c>
      <c r="W309" s="40">
        <f t="shared" ref="W309" si="834">+U309+V309</f>
        <v>0</v>
      </c>
      <c r="X309" s="43">
        <f t="shared" si="716"/>
        <v>0</v>
      </c>
      <c r="Y309" s="43">
        <f t="shared" si="716"/>
        <v>0</v>
      </c>
      <c r="Z309" s="43"/>
      <c r="AA309" s="43"/>
      <c r="AB309" s="43">
        <f t="shared" si="742"/>
        <v>0</v>
      </c>
      <c r="AC309" s="43">
        <f t="shared" si="743"/>
        <v>0</v>
      </c>
      <c r="AD309" s="43"/>
      <c r="AE309" s="43"/>
      <c r="AF309" s="43">
        <f t="shared" si="718"/>
        <v>0</v>
      </c>
      <c r="AG309" s="43">
        <f t="shared" si="719"/>
        <v>0</v>
      </c>
      <c r="AH309" s="43">
        <f t="shared" si="719"/>
        <v>0</v>
      </c>
      <c r="AI309" s="93">
        <f t="shared" si="720"/>
        <v>0</v>
      </c>
      <c r="AJ309" s="43">
        <f t="shared" si="720"/>
        <v>0</v>
      </c>
      <c r="AK309" s="43"/>
      <c r="AL309" s="43"/>
      <c r="AM309" s="43">
        <f t="shared" si="721"/>
        <v>0</v>
      </c>
      <c r="AN309" s="43">
        <f t="shared" si="722"/>
        <v>0</v>
      </c>
      <c r="AO309" s="43"/>
      <c r="AP309" s="43"/>
      <c r="AQ309" s="43">
        <f t="shared" si="723"/>
        <v>0</v>
      </c>
      <c r="AR309" s="43">
        <f t="shared" si="723"/>
        <v>0</v>
      </c>
      <c r="AS309" s="43"/>
      <c r="AT309" s="43"/>
      <c r="AU309" s="43">
        <f t="shared" si="804"/>
        <v>0</v>
      </c>
      <c r="AV309" s="43">
        <f t="shared" ref="AV309" si="835">ROUND(AE309*30.5%,2)</f>
        <v>0</v>
      </c>
      <c r="AW309" s="43"/>
      <c r="AX309" s="43"/>
      <c r="AY309" s="43">
        <f t="shared" si="724"/>
        <v>0</v>
      </c>
      <c r="AZ309" s="43">
        <f t="shared" si="724"/>
        <v>0</v>
      </c>
      <c r="BA309" s="43">
        <f t="shared" si="725"/>
        <v>0</v>
      </c>
      <c r="BB309" s="60"/>
      <c r="BC309" s="60"/>
      <c r="BD309" s="60">
        <f t="shared" si="726"/>
        <v>0</v>
      </c>
      <c r="BE309" s="60">
        <f t="shared" si="726"/>
        <v>0</v>
      </c>
      <c r="BF309" s="60">
        <f t="shared" si="727"/>
        <v>0</v>
      </c>
      <c r="BG309" s="60">
        <f t="shared" si="727"/>
        <v>0</v>
      </c>
      <c r="BH309" s="43">
        <v>0</v>
      </c>
      <c r="BI309" s="43">
        <v>0</v>
      </c>
      <c r="BJ309" s="43"/>
      <c r="BK309" s="43"/>
      <c r="BL309" s="43">
        <f t="shared" si="830"/>
        <v>0</v>
      </c>
      <c r="BM309" s="43">
        <f t="shared" si="830"/>
        <v>0</v>
      </c>
      <c r="BN309" s="43">
        <f t="shared" si="751"/>
        <v>0</v>
      </c>
      <c r="BO309" s="43"/>
      <c r="BP309" s="93"/>
      <c r="BQ309" s="43">
        <f t="shared" si="752"/>
        <v>0</v>
      </c>
      <c r="BR309" s="43">
        <f t="shared" si="752"/>
        <v>0</v>
      </c>
      <c r="BS309" s="43">
        <f t="shared" si="753"/>
        <v>0</v>
      </c>
      <c r="BT309" s="43">
        <f t="shared" si="753"/>
        <v>0</v>
      </c>
      <c r="BU309" s="43">
        <f t="shared" si="779"/>
        <v>0</v>
      </c>
      <c r="BV309" s="43">
        <f t="shared" si="828"/>
        <v>0</v>
      </c>
      <c r="BW309" s="43"/>
      <c r="BX309" s="43"/>
      <c r="BY309" s="43"/>
      <c r="BZ309" s="43"/>
      <c r="CA309" s="43">
        <v>0</v>
      </c>
      <c r="CB309" s="43">
        <v>0</v>
      </c>
      <c r="CC309" s="92">
        <v>0</v>
      </c>
      <c r="CD309" s="92">
        <v>0</v>
      </c>
      <c r="CE309" s="92">
        <v>0</v>
      </c>
      <c r="CF309" s="92">
        <v>0</v>
      </c>
      <c r="CG309" s="92">
        <f t="shared" si="754"/>
        <v>0</v>
      </c>
      <c r="CH309" s="92">
        <f t="shared" si="754"/>
        <v>0</v>
      </c>
      <c r="CI309" s="43"/>
      <c r="CJ309" s="43"/>
      <c r="CK309" s="43"/>
      <c r="CL309" s="43"/>
      <c r="CM309" s="43"/>
      <c r="CN309" s="43"/>
      <c r="CO309" s="43"/>
      <c r="CP309" s="43"/>
      <c r="CQ309" s="43">
        <f t="shared" si="755"/>
        <v>0</v>
      </c>
      <c r="CR309" s="43">
        <f t="shared" si="755"/>
        <v>0</v>
      </c>
      <c r="CS309" s="43">
        <f t="shared" si="756"/>
        <v>0</v>
      </c>
      <c r="CT309" s="43">
        <f t="shared" si="756"/>
        <v>0</v>
      </c>
      <c r="CU309" s="43"/>
      <c r="CV309" s="43"/>
      <c r="CW309" s="43">
        <f t="shared" si="757"/>
        <v>0</v>
      </c>
      <c r="CX309" s="43">
        <f t="shared" si="757"/>
        <v>0</v>
      </c>
      <c r="CY309" s="43"/>
      <c r="CZ309" s="43"/>
      <c r="DA309" s="43">
        <f t="shared" si="758"/>
        <v>0</v>
      </c>
      <c r="DB309" s="43">
        <f t="shared" si="758"/>
        <v>0</v>
      </c>
      <c r="DC309" s="43"/>
      <c r="DD309" s="43"/>
      <c r="DE309" s="43">
        <f t="shared" si="759"/>
        <v>0</v>
      </c>
      <c r="DF309" s="43">
        <f t="shared" si="759"/>
        <v>0</v>
      </c>
      <c r="DG309" s="43">
        <f>ROUND(0.25*(MIN(CU309,EW309)),2)</f>
        <v>0</v>
      </c>
      <c r="DH309" s="43">
        <f>ROUND(0.25*(MIN(CV309,EX309)),2)</f>
        <v>0</v>
      </c>
      <c r="DI309" s="43">
        <f>+DG309-DE309</f>
        <v>0</v>
      </c>
      <c r="DJ309" s="43">
        <f>+DH309-DF309</f>
        <v>0</v>
      </c>
      <c r="DK309" s="43"/>
      <c r="DL309" s="43"/>
      <c r="DM309" s="43">
        <f t="shared" si="760"/>
        <v>0</v>
      </c>
      <c r="DN309" s="43">
        <f t="shared" si="760"/>
        <v>0</v>
      </c>
      <c r="DO309" s="115">
        <v>0</v>
      </c>
      <c r="DP309" s="114">
        <v>0</v>
      </c>
      <c r="DQ309" s="60">
        <f t="shared" si="761"/>
        <v>0</v>
      </c>
      <c r="DR309" s="60">
        <f t="shared" si="761"/>
        <v>0</v>
      </c>
      <c r="DS309" s="60">
        <f t="shared" si="762"/>
        <v>0</v>
      </c>
      <c r="DT309" s="60">
        <f t="shared" si="762"/>
        <v>0</v>
      </c>
      <c r="DU309" s="60">
        <f t="shared" si="763"/>
        <v>0</v>
      </c>
      <c r="DV309" s="60">
        <f t="shared" si="763"/>
        <v>0</v>
      </c>
      <c r="DW309" s="60"/>
      <c r="DX309" s="60"/>
      <c r="DY309" s="60">
        <f t="shared" si="827"/>
        <v>0</v>
      </c>
      <c r="DZ309" s="60">
        <f t="shared" si="827"/>
        <v>0</v>
      </c>
      <c r="EA309" s="60"/>
      <c r="EB309" s="60"/>
      <c r="EC309" s="43">
        <f t="shared" si="764"/>
        <v>0</v>
      </c>
      <c r="ED309" s="43">
        <f t="shared" si="764"/>
        <v>0</v>
      </c>
      <c r="EE309" s="43"/>
      <c r="EF309" s="43"/>
      <c r="EG309" s="43" t="e">
        <f t="shared" si="795"/>
        <v>#DIV/0!</v>
      </c>
      <c r="EH309" s="43" t="e">
        <f t="shared" si="795"/>
        <v>#DIV/0!</v>
      </c>
      <c r="EI309" s="43">
        <f t="shared" si="765"/>
        <v>0</v>
      </c>
      <c r="EJ309" s="43">
        <f t="shared" si="765"/>
        <v>0</v>
      </c>
      <c r="EK309" s="43">
        <f t="shared" si="766"/>
        <v>0</v>
      </c>
      <c r="EL309" s="43">
        <f t="shared" si="766"/>
        <v>0</v>
      </c>
      <c r="EM309" s="43">
        <f t="shared" si="767"/>
        <v>0</v>
      </c>
      <c r="EN309" s="43">
        <f t="shared" si="767"/>
        <v>0</v>
      </c>
      <c r="EO309" s="43"/>
      <c r="EP309" s="43"/>
      <c r="EQ309" s="5"/>
      <c r="ER309" s="5"/>
      <c r="ES309" s="5"/>
      <c r="ET309" s="5"/>
      <c r="EU309" s="5">
        <f t="shared" si="814"/>
        <v>0</v>
      </c>
      <c r="EV309" s="5">
        <f t="shared" si="814"/>
        <v>0</v>
      </c>
    </row>
    <row r="310" spans="1:160" ht="20.45" customHeight="1" x14ac:dyDescent="0.25">
      <c r="A310" s="68"/>
      <c r="B310" s="68"/>
      <c r="C310" s="91"/>
      <c r="D310" s="67" t="s">
        <v>625</v>
      </c>
      <c r="E310" s="69"/>
      <c r="F310" s="70">
        <f t="shared" ref="F310:AA310" si="836">+F309+F308+F290+F288+F271+F265+F262+F240+F223+F225+F185+F135+F89</f>
        <v>352311.57</v>
      </c>
      <c r="G310" s="70">
        <f t="shared" si="836"/>
        <v>122515.5</v>
      </c>
      <c r="H310" s="70">
        <f t="shared" si="836"/>
        <v>357393.36</v>
      </c>
      <c r="I310" s="70">
        <f t="shared" si="836"/>
        <v>123459.09999999999</v>
      </c>
      <c r="J310" s="71" t="e">
        <f t="shared" si="836"/>
        <v>#REF!</v>
      </c>
      <c r="K310" s="71" t="e">
        <f t="shared" si="836"/>
        <v>#REF!</v>
      </c>
      <c r="L310" s="71" t="e">
        <f t="shared" si="836"/>
        <v>#REF!</v>
      </c>
      <c r="M310" s="71" t="e">
        <f t="shared" si="836"/>
        <v>#REF!</v>
      </c>
      <c r="N310" s="71" t="e">
        <f t="shared" si="836"/>
        <v>#REF!</v>
      </c>
      <c r="O310" s="71" t="e">
        <f t="shared" si="836"/>
        <v>#REF!</v>
      </c>
      <c r="P310" s="71" t="e">
        <f t="shared" si="836"/>
        <v>#REF!</v>
      </c>
      <c r="Q310" s="71" t="e">
        <f t="shared" si="836"/>
        <v>#REF!</v>
      </c>
      <c r="R310" s="71" t="e">
        <f t="shared" si="836"/>
        <v>#REF!</v>
      </c>
      <c r="S310" s="71" t="e">
        <f t="shared" si="836"/>
        <v>#REF!</v>
      </c>
      <c r="T310" s="71" t="e">
        <f t="shared" si="836"/>
        <v>#REF!</v>
      </c>
      <c r="U310" s="71" t="e">
        <f t="shared" si="836"/>
        <v>#REF!</v>
      </c>
      <c r="V310" s="71" t="e">
        <f t="shared" si="836"/>
        <v>#REF!</v>
      </c>
      <c r="W310" s="71" t="e">
        <f t="shared" si="836"/>
        <v>#REF!</v>
      </c>
      <c r="X310" s="71" t="e">
        <f t="shared" si="836"/>
        <v>#REF!</v>
      </c>
      <c r="Y310" s="71" t="e">
        <f t="shared" si="836"/>
        <v>#REF!</v>
      </c>
      <c r="Z310" s="71" t="e">
        <f t="shared" si="836"/>
        <v>#REF!</v>
      </c>
      <c r="AA310" s="71" t="e">
        <f t="shared" si="836"/>
        <v>#REF!</v>
      </c>
      <c r="AB310" s="70" t="e">
        <f t="shared" si="742"/>
        <v>#REF!</v>
      </c>
      <c r="AC310" s="43" t="e">
        <f t="shared" si="743"/>
        <v>#REF!</v>
      </c>
      <c r="AD310" s="70">
        <f t="shared" ref="AD310:CQ310" si="837">+AD309+AD308+AD290+AD288+AD271+AD265+AD262+AD240+AD223+AD225+AD185+AD135+AD89</f>
        <v>369772.68000000005</v>
      </c>
      <c r="AE310" s="70">
        <f t="shared" si="837"/>
        <v>126302.93</v>
      </c>
      <c r="AF310" s="70">
        <f t="shared" si="837"/>
        <v>126790.1</v>
      </c>
      <c r="AG310" s="70">
        <f t="shared" si="837"/>
        <v>92220</v>
      </c>
      <c r="AH310" s="70">
        <f t="shared" si="837"/>
        <v>31505</v>
      </c>
      <c r="AI310" s="70">
        <f t="shared" si="837"/>
        <v>30738</v>
      </c>
      <c r="AJ310" s="70">
        <f t="shared" si="837"/>
        <v>10498</v>
      </c>
      <c r="AK310" s="70">
        <f t="shared" si="837"/>
        <v>406.85</v>
      </c>
      <c r="AL310" s="70">
        <f t="shared" si="837"/>
        <v>1554.6</v>
      </c>
      <c r="AM310" s="70">
        <f t="shared" si="837"/>
        <v>92389.25</v>
      </c>
      <c r="AN310" s="70">
        <f t="shared" si="837"/>
        <v>30710.399999999998</v>
      </c>
      <c r="AO310" s="70">
        <f t="shared" si="837"/>
        <v>46.65</v>
      </c>
      <c r="AP310" s="70">
        <f t="shared" si="837"/>
        <v>54.989999999999995</v>
      </c>
      <c r="AQ310" s="70">
        <f t="shared" si="837"/>
        <v>185062.75000000003</v>
      </c>
      <c r="AR310" s="70">
        <f t="shared" si="837"/>
        <v>63824.990000000005</v>
      </c>
      <c r="AS310" s="70">
        <f t="shared" si="837"/>
        <v>699.64</v>
      </c>
      <c r="AT310" s="70">
        <f t="shared" si="837"/>
        <v>432</v>
      </c>
      <c r="AU310" s="70">
        <f t="shared" si="837"/>
        <v>92231.890000000014</v>
      </c>
      <c r="AV310" s="70">
        <f t="shared" si="837"/>
        <v>34024.450000000004</v>
      </c>
      <c r="AW310" s="70">
        <f t="shared" si="837"/>
        <v>1369.22</v>
      </c>
      <c r="AX310" s="70">
        <f t="shared" si="837"/>
        <v>5602.25</v>
      </c>
      <c r="AY310" s="70">
        <f t="shared" si="837"/>
        <v>310101.5</v>
      </c>
      <c r="AZ310" s="70">
        <f t="shared" si="837"/>
        <v>114381.69</v>
      </c>
      <c r="BA310" s="70">
        <f t="shared" si="837"/>
        <v>424483.19</v>
      </c>
      <c r="BB310" s="70">
        <f t="shared" si="837"/>
        <v>294877.33</v>
      </c>
      <c r="BC310" s="70">
        <f t="shared" si="837"/>
        <v>111869.38999999998</v>
      </c>
      <c r="BD310" s="70">
        <f t="shared" si="837"/>
        <v>15224.170000000004</v>
      </c>
      <c r="BE310" s="70">
        <f t="shared" si="837"/>
        <v>2512.300000000002</v>
      </c>
      <c r="BF310" s="70">
        <f t="shared" si="837"/>
        <v>58975.46</v>
      </c>
      <c r="BG310" s="70">
        <f t="shared" si="837"/>
        <v>22373.910000000003</v>
      </c>
      <c r="BH310" s="70">
        <f t="shared" si="837"/>
        <v>23193.55</v>
      </c>
      <c r="BI310" s="70">
        <f t="shared" si="837"/>
        <v>9804.75</v>
      </c>
      <c r="BJ310" s="70">
        <f t="shared" si="837"/>
        <v>23000.13</v>
      </c>
      <c r="BK310" s="70">
        <f t="shared" si="837"/>
        <v>1046.3399999999999</v>
      </c>
      <c r="BL310" s="70">
        <f t="shared" si="837"/>
        <v>356295.18</v>
      </c>
      <c r="BM310" s="70">
        <f t="shared" si="837"/>
        <v>125232.77999999998</v>
      </c>
      <c r="BN310" s="70">
        <f t="shared" si="837"/>
        <v>485235.48</v>
      </c>
      <c r="BO310" s="70">
        <f t="shared" si="837"/>
        <v>340022.06000000006</v>
      </c>
      <c r="BP310" s="96">
        <f t="shared" si="837"/>
        <v>123811.61999999998</v>
      </c>
      <c r="BQ310" s="70">
        <f t="shared" si="837"/>
        <v>16273.120000000003</v>
      </c>
      <c r="BR310" s="70">
        <f t="shared" si="837"/>
        <v>1421.1600000000003</v>
      </c>
      <c r="BS310" s="70">
        <f t="shared" si="837"/>
        <v>30911.149999999998</v>
      </c>
      <c r="BT310" s="70">
        <f t="shared" si="837"/>
        <v>11255.619999999999</v>
      </c>
      <c r="BU310" s="70">
        <f t="shared" si="837"/>
        <v>18802.5</v>
      </c>
      <c r="BV310" s="70">
        <f t="shared" si="837"/>
        <v>9634.2199999999993</v>
      </c>
      <c r="BW310" s="70">
        <f t="shared" si="837"/>
        <v>19699.320000000003</v>
      </c>
      <c r="BX310" s="70">
        <f t="shared" si="837"/>
        <v>3600</v>
      </c>
      <c r="BY310" s="70">
        <f t="shared" si="837"/>
        <v>480.96</v>
      </c>
      <c r="BZ310" s="70">
        <f t="shared" si="837"/>
        <v>480.96</v>
      </c>
      <c r="CA310" s="70">
        <f t="shared" si="837"/>
        <v>394797</v>
      </c>
      <c r="CB310" s="70">
        <f t="shared" si="837"/>
        <v>138467</v>
      </c>
      <c r="CC310" s="70">
        <f t="shared" si="837"/>
        <v>434276.76</v>
      </c>
      <c r="CD310" s="70">
        <f t="shared" si="837"/>
        <v>159237.08999999997</v>
      </c>
      <c r="CE310" s="70">
        <f t="shared" si="837"/>
        <v>36414</v>
      </c>
      <c r="CF310" s="70">
        <f t="shared" si="837"/>
        <v>14105</v>
      </c>
      <c r="CG310" s="70">
        <f t="shared" si="837"/>
        <v>98699.37000000001</v>
      </c>
      <c r="CH310" s="96">
        <f t="shared" si="837"/>
        <v>34616.83</v>
      </c>
      <c r="CI310" s="70">
        <f t="shared" si="837"/>
        <v>0</v>
      </c>
      <c r="CJ310" s="70">
        <f t="shared" si="837"/>
        <v>0</v>
      </c>
      <c r="CK310" s="70">
        <f t="shared" si="837"/>
        <v>101242.32</v>
      </c>
      <c r="CL310" s="70">
        <f t="shared" si="837"/>
        <v>35768.5</v>
      </c>
      <c r="CM310" s="70">
        <f t="shared" si="837"/>
        <v>624</v>
      </c>
      <c r="CN310" s="70">
        <f t="shared" si="837"/>
        <v>1843.7</v>
      </c>
      <c r="CO310" s="70">
        <f t="shared" si="837"/>
        <v>425715.27999999997</v>
      </c>
      <c r="CP310" s="70">
        <f t="shared" si="837"/>
        <v>148096.91999999998</v>
      </c>
      <c r="CQ310" s="70">
        <f t="shared" si="837"/>
        <v>404969.28</v>
      </c>
      <c r="CR310" s="70">
        <f t="shared" ref="CR310:FD310" si="838">+CR309+CR308+CR290+CR288+CR271+CR265+CR262+CR240+CR223+CR225+CR185+CR135+CR89</f>
        <v>144884.32</v>
      </c>
      <c r="CS310" s="70">
        <f t="shared" si="838"/>
        <v>392650</v>
      </c>
      <c r="CT310" s="70">
        <f t="shared" si="838"/>
        <v>139342</v>
      </c>
      <c r="CU310" s="70">
        <f t="shared" si="838"/>
        <v>406220.85</v>
      </c>
      <c r="CV310" s="70">
        <f t="shared" si="838"/>
        <v>146250.60999999999</v>
      </c>
      <c r="CW310" s="70">
        <f t="shared" si="838"/>
        <v>100670</v>
      </c>
      <c r="CX310" s="70">
        <f t="shared" si="838"/>
        <v>33752</v>
      </c>
      <c r="CY310" s="70">
        <f t="shared" si="838"/>
        <v>1253.24</v>
      </c>
      <c r="CZ310" s="70">
        <f t="shared" si="838"/>
        <v>4367.6200000000008</v>
      </c>
      <c r="DA310" s="70">
        <f t="shared" si="838"/>
        <v>240203.56</v>
      </c>
      <c r="DB310" s="70">
        <f t="shared" si="838"/>
        <v>89836.82</v>
      </c>
      <c r="DC310" s="70">
        <f t="shared" si="838"/>
        <v>225894.21</v>
      </c>
      <c r="DD310" s="70">
        <f t="shared" si="838"/>
        <v>85413.459999999992</v>
      </c>
      <c r="DE310" s="70">
        <f t="shared" si="838"/>
        <v>14309.349999999999</v>
      </c>
      <c r="DF310" s="70">
        <f t="shared" si="838"/>
        <v>4423.3600000000015</v>
      </c>
      <c r="DG310" s="70">
        <f t="shared" si="838"/>
        <v>100210.61</v>
      </c>
      <c r="DH310" s="70">
        <f t="shared" si="838"/>
        <v>35944.839999999997</v>
      </c>
      <c r="DI310" s="70">
        <f t="shared" si="838"/>
        <v>88026</v>
      </c>
      <c r="DJ310" s="70">
        <f t="shared" si="838"/>
        <v>31579</v>
      </c>
      <c r="DK310" s="70">
        <f t="shared" si="838"/>
        <v>3265.94</v>
      </c>
      <c r="DL310" s="70">
        <f t="shared" si="838"/>
        <v>3699.52</v>
      </c>
      <c r="DM310" s="70">
        <f t="shared" si="838"/>
        <v>331495.5</v>
      </c>
      <c r="DN310" s="70">
        <f t="shared" si="838"/>
        <v>125115.34000000001</v>
      </c>
      <c r="DO310" s="70">
        <f t="shared" si="838"/>
        <v>325987.62</v>
      </c>
      <c r="DP310" s="70">
        <f t="shared" si="838"/>
        <v>122230.16</v>
      </c>
      <c r="DQ310" s="70">
        <f t="shared" si="838"/>
        <v>5507.8799999999992</v>
      </c>
      <c r="DR310" s="70">
        <f t="shared" si="838"/>
        <v>2885.1800000000003</v>
      </c>
      <c r="DS310" s="70">
        <f t="shared" si="838"/>
        <v>32598.761999999999</v>
      </c>
      <c r="DT310" s="70">
        <f t="shared" si="838"/>
        <v>12223.016</v>
      </c>
      <c r="DU310" s="70">
        <f t="shared" si="838"/>
        <v>27090.881999999998</v>
      </c>
      <c r="DV310" s="70">
        <f t="shared" si="838"/>
        <v>9337.8359999999993</v>
      </c>
      <c r="DW310" s="70">
        <f t="shared" si="838"/>
        <v>1957.22</v>
      </c>
      <c r="DX310" s="70">
        <f t="shared" si="838"/>
        <v>2567.37</v>
      </c>
      <c r="DY310" s="70">
        <f t="shared" si="838"/>
        <v>28678.269999999997</v>
      </c>
      <c r="DZ310" s="70">
        <f t="shared" si="838"/>
        <v>13135.35</v>
      </c>
      <c r="EA310" s="70">
        <f t="shared" si="838"/>
        <v>1024.8600000000001</v>
      </c>
      <c r="EB310" s="96">
        <f t="shared" si="838"/>
        <v>1414.46</v>
      </c>
      <c r="EC310" s="70">
        <f t="shared" si="838"/>
        <v>361198.63</v>
      </c>
      <c r="ED310" s="70">
        <f t="shared" si="838"/>
        <v>139665.15000000002</v>
      </c>
      <c r="EE310" s="70">
        <f t="shared" si="838"/>
        <v>350947.48</v>
      </c>
      <c r="EF310" s="70">
        <f t="shared" si="838"/>
        <v>135335.81047999999</v>
      </c>
      <c r="EG310" s="70" t="e">
        <f t="shared" si="838"/>
        <v>#DIV/0!</v>
      </c>
      <c r="EH310" s="70" t="e">
        <f t="shared" si="838"/>
        <v>#DIV/0!</v>
      </c>
      <c r="EI310" s="70">
        <f t="shared" si="838"/>
        <v>10251.150000000001</v>
      </c>
      <c r="EJ310" s="70">
        <f t="shared" si="838"/>
        <v>4329.34</v>
      </c>
      <c r="EK310" s="70">
        <f t="shared" si="838"/>
        <v>31904.31</v>
      </c>
      <c r="EL310" s="70">
        <f t="shared" si="838"/>
        <v>12303.210000000001</v>
      </c>
      <c r="EM310" s="70">
        <f t="shared" si="838"/>
        <v>21653.160000000003</v>
      </c>
      <c r="EN310" s="70">
        <f t="shared" si="838"/>
        <v>7973.87</v>
      </c>
      <c r="EO310" s="70">
        <f t="shared" si="838"/>
        <v>35140.879999999997</v>
      </c>
      <c r="EP310" s="70">
        <f t="shared" si="838"/>
        <v>13233.19</v>
      </c>
      <c r="EQ310" s="79" t="e">
        <f t="shared" si="838"/>
        <v>#VALUE!</v>
      </c>
      <c r="ER310" s="62">
        <f t="shared" si="838"/>
        <v>0</v>
      </c>
      <c r="ES310" s="62">
        <f t="shared" si="838"/>
        <v>3571.2999999999997</v>
      </c>
      <c r="ET310" s="62">
        <f t="shared" si="838"/>
        <v>1908.9299999999998</v>
      </c>
      <c r="EU310" s="5">
        <f t="shared" si="814"/>
        <v>18399.579849999987</v>
      </c>
      <c r="EV310" s="5">
        <f t="shared" si="814"/>
        <v>4701.0299999999716</v>
      </c>
      <c r="EW310" s="62">
        <f t="shared" si="838"/>
        <v>414739.08984999999</v>
      </c>
      <c r="EX310" s="62">
        <f t="shared" si="838"/>
        <v>157599.37</v>
      </c>
      <c r="EY310" s="62">
        <f t="shared" si="838"/>
        <v>457099.62</v>
      </c>
      <c r="EZ310" s="62">
        <f t="shared" si="838"/>
        <v>164265.91</v>
      </c>
      <c r="FA310" s="62">
        <f t="shared" si="838"/>
        <v>8912.23</v>
      </c>
      <c r="FB310" s="62">
        <f t="shared" si="838"/>
        <v>782.23</v>
      </c>
      <c r="FC310" s="62">
        <f t="shared" si="838"/>
        <v>0</v>
      </c>
      <c r="FD310" s="62">
        <f t="shared" si="838"/>
        <v>0</v>
      </c>
    </row>
    <row r="311" spans="1:160" x14ac:dyDescent="0.25">
      <c r="J311" s="52"/>
      <c r="BE311" s="5">
        <v>234700</v>
      </c>
      <c r="CE311">
        <v>16500</v>
      </c>
      <c r="CF311">
        <v>3500</v>
      </c>
      <c r="CK311" s="6">
        <v>101242.32</v>
      </c>
      <c r="CL311" s="6">
        <v>35768.5</v>
      </c>
      <c r="CT311" s="44"/>
      <c r="CU311" s="44" t="s">
        <v>626</v>
      </c>
      <c r="CV311" s="44" t="s">
        <v>84</v>
      </c>
      <c r="CW311" s="6">
        <v>100670</v>
      </c>
      <c r="CX311" s="6">
        <v>33752</v>
      </c>
    </row>
    <row r="312" spans="1:160" x14ac:dyDescent="0.25">
      <c r="J312" s="52"/>
      <c r="CA312" s="6">
        <v>412608</v>
      </c>
      <c r="CB312" s="6">
        <v>146875</v>
      </c>
      <c r="CE312" s="5">
        <f>+CE310-CE311</f>
        <v>19914</v>
      </c>
      <c r="CF312" s="5">
        <f>+CF310-CF311</f>
        <v>10605</v>
      </c>
      <c r="CJ312" s="6" t="s">
        <v>627</v>
      </c>
      <c r="CK312" s="6">
        <v>103152</v>
      </c>
      <c r="CL312" s="6">
        <f>146875*25%</f>
        <v>36718.75</v>
      </c>
      <c r="CM312" s="6">
        <f>148875*25%</f>
        <v>37218.75</v>
      </c>
      <c r="CN312" s="6">
        <f>CN310+CL310</f>
        <v>37612.199999999997</v>
      </c>
      <c r="CT312" s="44" t="s">
        <v>628</v>
      </c>
      <c r="CU312" s="44">
        <v>412608</v>
      </c>
      <c r="CV312" s="44">
        <v>148875</v>
      </c>
      <c r="CW312" s="42"/>
      <c r="DI312" s="6"/>
      <c r="DJ312" s="6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</row>
    <row r="313" spans="1:160" x14ac:dyDescent="0.25">
      <c r="J313" s="52"/>
      <c r="CA313" s="6" t="s">
        <v>629</v>
      </c>
      <c r="CB313" s="6">
        <v>171098</v>
      </c>
      <c r="CJ313" s="6" t="s">
        <v>630</v>
      </c>
      <c r="CT313" s="86"/>
      <c r="DW313" s="5">
        <f>+DY310+EA310</f>
        <v>29703.129999999997</v>
      </c>
      <c r="DX313" s="5"/>
      <c r="DZ313" s="5"/>
      <c r="EA313" s="5"/>
      <c r="EB313" s="5"/>
      <c r="EH313" s="5"/>
      <c r="EO313" s="5"/>
      <c r="ES313" s="22">
        <v>408825</v>
      </c>
      <c r="ET313" s="22">
        <v>153300</v>
      </c>
    </row>
    <row r="314" spans="1:160" x14ac:dyDescent="0.25">
      <c r="J314" s="52"/>
      <c r="CS314" s="86"/>
      <c r="DJ314" s="6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87"/>
      <c r="EE314" s="87"/>
      <c r="EF314" s="87"/>
      <c r="EG314" s="87"/>
      <c r="EH314" s="87"/>
      <c r="EI314" s="87"/>
      <c r="EJ314" s="87"/>
      <c r="EK314" s="87"/>
      <c r="EL314" s="87"/>
      <c r="EM314" s="87"/>
      <c r="EN314" s="87"/>
      <c r="EO314" s="87"/>
      <c r="EP314" s="87"/>
      <c r="EQ314" s="87"/>
      <c r="ER314" s="87"/>
      <c r="ES314" s="88">
        <f>+ES313-DY310-EA310-DM310</f>
        <v>47626.369999999995</v>
      </c>
      <c r="ET314" s="88">
        <f>+ET313-EB312</f>
        <v>153300</v>
      </c>
    </row>
    <row r="315" spans="1:160" x14ac:dyDescent="0.25">
      <c r="J315" s="52"/>
      <c r="CA315" s="6" t="s">
        <v>631</v>
      </c>
      <c r="CB315" s="6">
        <f>+CB313-CB312</f>
        <v>24223</v>
      </c>
      <c r="CH315" s="5">
        <f>+CL312-CH310</f>
        <v>2101.9199999999983</v>
      </c>
      <c r="CO315" s="23"/>
      <c r="CP315" s="23"/>
      <c r="CT315" s="42"/>
      <c r="CU315"/>
      <c r="DQ315" t="s">
        <v>632</v>
      </c>
      <c r="DT315" t="s">
        <v>633</v>
      </c>
      <c r="DU315">
        <v>98935.94</v>
      </c>
      <c r="DW315">
        <v>40874.5</v>
      </c>
      <c r="DY315" s="5"/>
      <c r="DZ315" s="5"/>
      <c r="EJ315" s="5"/>
      <c r="EM315" s="5"/>
      <c r="EO315" s="5"/>
    </row>
    <row r="316" spans="1:160" x14ac:dyDescent="0.25">
      <c r="J316" s="52"/>
      <c r="CA316" s="89">
        <f>CA312/CA310</f>
        <v>1.0451143245769345</v>
      </c>
      <c r="CN316" s="44"/>
      <c r="CX316" s="23"/>
      <c r="CY316" s="23"/>
      <c r="CZ316" s="23"/>
      <c r="DA316" s="23"/>
      <c r="DB316" s="23"/>
      <c r="DC316" s="23"/>
      <c r="DD316" s="23"/>
      <c r="DE316" s="23"/>
      <c r="DF316" s="23"/>
      <c r="DG316" s="23"/>
      <c r="DH316" s="23"/>
      <c r="DT316" t="s">
        <v>634</v>
      </c>
      <c r="DU316">
        <v>19914</v>
      </c>
      <c r="DW316">
        <v>220</v>
      </c>
      <c r="DY316" s="5"/>
      <c r="DZ316" s="5"/>
      <c r="EA316" s="5"/>
      <c r="EB316" s="5"/>
      <c r="ES316" s="5"/>
    </row>
    <row r="317" spans="1:160" x14ac:dyDescent="0.25">
      <c r="J317" s="52"/>
      <c r="CA317" s="6">
        <v>42687</v>
      </c>
      <c r="CB317" s="6">
        <v>87.5</v>
      </c>
      <c r="CC317" s="5"/>
      <c r="CV317" s="86"/>
      <c r="CW317" s="42"/>
      <c r="CX317" s="44"/>
      <c r="DU317">
        <f>+DU315-DU316</f>
        <v>79021.94</v>
      </c>
      <c r="EB317" s="5"/>
      <c r="EC317" s="5"/>
      <c r="EO317" s="5"/>
      <c r="EP317" s="5"/>
      <c r="ES317" s="5">
        <f>+ES313-ES316</f>
        <v>408825</v>
      </c>
    </row>
    <row r="319" spans="1:160" x14ac:dyDescent="0.25">
      <c r="CQ319" s="6">
        <f>215-21.55</f>
        <v>193.45</v>
      </c>
      <c r="ES319" s="5">
        <f>+ES317-62.13</f>
        <v>408762.87</v>
      </c>
    </row>
    <row r="320" spans="1:160" x14ac:dyDescent="0.25">
      <c r="CQ320" s="6">
        <v>200</v>
      </c>
    </row>
    <row r="322" spans="36:148" x14ac:dyDescent="0.25">
      <c r="AJ322" s="6">
        <v>31875</v>
      </c>
    </row>
    <row r="323" spans="36:148" x14ac:dyDescent="0.25">
      <c r="AJ323" s="6">
        <f>795.52+30.15+358.93</f>
        <v>1184.5999999999999</v>
      </c>
    </row>
    <row r="324" spans="36:148" x14ac:dyDescent="0.25">
      <c r="AJ324" s="6">
        <f>+AJ322-AJ323</f>
        <v>30690.400000000001</v>
      </c>
      <c r="AK324" s="6">
        <f>+AJ324-AN310</f>
        <v>-19.999999999996362</v>
      </c>
    </row>
    <row r="325" spans="36:148" x14ac:dyDescent="0.25">
      <c r="AJ325" s="6">
        <f>AJ324/127500</f>
        <v>0.24070901960784316</v>
      </c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</row>
    <row r="326" spans="36:148" x14ac:dyDescent="0.25">
      <c r="AJ326" s="6">
        <f>127500*24.35%</f>
        <v>31046.250000000004</v>
      </c>
    </row>
    <row r="327" spans="36:148" x14ac:dyDescent="0.25">
      <c r="AJ327" s="6">
        <f>+AJ324-AJ326</f>
        <v>-355.85000000000218</v>
      </c>
      <c r="EO327" s="5"/>
    </row>
  </sheetData>
  <sheetProtection algorithmName="SHA-512" hashValue="SmgcWGDWsvn0fG3MUp7SqWl8HEpuyMIimdYccYziVfLVquBNvgf2ZAszhrs288KnUW7Bw8hRhorItc/ootZZ+Q==" saltValue="EOempQgOS0XI/lPlnIMaqg==" spinCount="100000" sheet="1" objects="1" scenarios="1"/>
  <autoFilter ref="C1:C327"/>
  <mergeCells count="48">
    <mergeCell ref="EO3:EP3"/>
    <mergeCell ref="EU3:EV3"/>
    <mergeCell ref="EA3:EB3"/>
    <mergeCell ref="EC3:ED3"/>
    <mergeCell ref="EE3:EF3"/>
    <mergeCell ref="EG3:EH3"/>
    <mergeCell ref="EI3:EJ3"/>
    <mergeCell ref="EK3:EL3"/>
    <mergeCell ref="DY3:DZ3"/>
    <mergeCell ref="CS3:CT3"/>
    <mergeCell ref="DA3:DB3"/>
    <mergeCell ref="DC3:DD3"/>
    <mergeCell ref="DG3:DH3"/>
    <mergeCell ref="DI3:DJ3"/>
    <mergeCell ref="DK3:DL3"/>
    <mergeCell ref="DM3:DN3"/>
    <mergeCell ref="DO3:DP3"/>
    <mergeCell ref="DQ3:DR3"/>
    <mergeCell ref="DS3:DT3"/>
    <mergeCell ref="DU3:DV3"/>
    <mergeCell ref="CQ3:CR3"/>
    <mergeCell ref="AW3:AX3"/>
    <mergeCell ref="AY3:BA3"/>
    <mergeCell ref="BH3:BI3"/>
    <mergeCell ref="BL3:BN3"/>
    <mergeCell ref="BU3:BV3"/>
    <mergeCell ref="BW3:BX3"/>
    <mergeCell ref="CA3:CB3"/>
    <mergeCell ref="CG3:CH3"/>
    <mergeCell ref="CK3:CL3"/>
    <mergeCell ref="CM3:CN3"/>
    <mergeCell ref="CO3:CP3"/>
    <mergeCell ref="AU3:AV3"/>
    <mergeCell ref="F2:G2"/>
    <mergeCell ref="J2:S2"/>
    <mergeCell ref="CE2:CF2"/>
    <mergeCell ref="J3:M3"/>
    <mergeCell ref="N3:Q3"/>
    <mergeCell ref="R3:S3"/>
    <mergeCell ref="V3:W3"/>
    <mergeCell ref="X3:Y3"/>
    <mergeCell ref="Z3:AB3"/>
    <mergeCell ref="AD3:AE3"/>
    <mergeCell ref="AG3:AH3"/>
    <mergeCell ref="AI3:AJ3"/>
    <mergeCell ref="AK3:AL3"/>
    <mergeCell ref="AQ3:AR3"/>
    <mergeCell ref="AS3:AT3"/>
  </mergeCells>
  <conditionalFormatting sqref="M8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9:AA289 X291:AA307 X8:AB9 X11:AB12 X14:AB15 X17:AB23 X25:AB25 X27:AB28 X30:AB32 X34:AB35 X37:AB38 X40:AB42 X46:AB48 X50:AB51 X53:AB55 X57:AB58 X60:AB61 X63:AB64 X66:AB67 X69:AB70 X76:AB78 X80:AB81 X83:AB84 X91:AB92 X96:AB97 X99:AB100 X102:AB103 X105:AB106 X108:AB109 X111:AB112 X115:AB116 X120:AB121 X123:AB124 X132:AB133 X137:AB138 X140:AB141 X143:AB145 X147:AB155 X158:AB159 X162:AB163 X166:AB167 X171:AB173 X177:AB178 X181:AB183 X186:AB186 X188:AB190 X193:AB194 X199:AB204 X207:AB208 X210:AB212 X215:AB216 X218:AB220 X224:AB224 X226:AB227 X233:AB234 X236:AB237 X241:AB247 X249:AB252 X254:AB255 X257:AB259 X267:AB268 X272:AB285 X287:AB287 X309:AB309 AB289:AB307 X5:AB6 AC5:AC55 X72:AB74 AC57:AC310 AD290:ET290 EW290:FD290">
    <cfRule type="cellIs" dxfId="0" priority="1" operator="lessThan">
      <formula>0</formula>
    </cfRule>
  </conditionalFormatting>
  <pageMargins left="0.7" right="0.7" top="0.75" bottom="0.75" header="0.3" footer="0.3"/>
  <pageSetup scale="50" orientation="portrait" r:id="rId1"/>
  <rowBreaks count="2" manualBreakCount="2">
    <brk id="227" max="137" man="1"/>
    <brk id="288" max="137" man="1"/>
  </rowBreaks>
  <colBreaks count="3" manualBreakCount="3">
    <brk id="77" max="316" man="1"/>
    <brk id="92" max="316" man="1"/>
    <brk id="105" max="31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2023-02-17T05:43:50Z</dcterms:created>
  <dcterms:modified xsi:type="dcterms:W3CDTF">2023-02-20T17:52:20Z</dcterms:modified>
</cp:coreProperties>
</file>